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Games\VBAM 2.0\"/>
    </mc:Choice>
  </mc:AlternateContent>
  <bookViews>
    <workbookView xWindow="120" yWindow="150" windowWidth="28590" windowHeight="12780"/>
  </bookViews>
  <sheets>
    <sheet name="Design" sheetId="1" r:id="rId1"/>
    <sheet name="Starships" sheetId="3" r:id="rId2"/>
    <sheet name="Bases" sheetId="4" r:id="rId3"/>
    <sheet name="Fighters" sheetId="5" r:id="rId4"/>
    <sheet name="Mines" sheetId="6" r:id="rId5"/>
    <sheet name="Ground Units" sheetId="7" r:id="rId6"/>
    <sheet name="Tables" sheetId="2" state="hidden" r:id="rId7"/>
  </sheets>
  <definedNames>
    <definedName name="BaseSpecList">Tables!$N$26:$N$42</definedName>
    <definedName name="FighterList">Tables!$K$1:$K$6</definedName>
    <definedName name="FighterRange">Tables!$K$1:$Q$7</definedName>
    <definedName name="FighterSpecList">Tables!$M$26:$M$46</definedName>
    <definedName name="GroundList">Tables!$AA$1:$AA$5</definedName>
    <definedName name="GroundRange">Tables!$AA$1:$AF$6</definedName>
    <definedName name="GroundSpecList">Tables!$P$26:$P$35</definedName>
    <definedName name="MineList">Tables!$S$1:$S$6</definedName>
    <definedName name="MineRange">Tables!$S$1:$Y$7</definedName>
    <definedName name="MineSpecList">Tables!$O$26:$O$34</definedName>
    <definedName name="ShipSpecList">Tables!$L$26:$L$59</definedName>
    <definedName name="SpecialRange">Tables!$A$26:$E$70</definedName>
    <definedName name="StarshipCostList">Tables!$S$10:$S$20</definedName>
    <definedName name="StarshipRange">Tables!$D$1:$I$18</definedName>
    <definedName name="TechAdvList">Tables!$C$1:$C$3</definedName>
    <definedName name="TemplateList">Tables!$B$1:$B$6</definedName>
  </definedNames>
  <calcPr calcId="152511"/>
</workbook>
</file>

<file path=xl/calcChain.xml><?xml version="1.0" encoding="utf-8"?>
<calcChain xmlns="http://schemas.openxmlformats.org/spreadsheetml/2006/main">
  <c r="K1" i="7" l="1"/>
  <c r="J1" i="6"/>
  <c r="J1" i="5"/>
  <c r="K1" i="4"/>
  <c r="M1" i="3"/>
  <c r="BH26" i="1" l="1"/>
  <c r="BH27" i="1"/>
  <c r="BH28" i="1"/>
  <c r="BH29" i="1"/>
  <c r="BH25" i="1"/>
  <c r="BG26" i="1"/>
  <c r="BG27" i="1"/>
  <c r="BG28" i="1"/>
  <c r="BG29" i="1"/>
  <c r="BG25" i="1"/>
  <c r="AL21" i="1" l="1"/>
  <c r="AI22" i="1"/>
  <c r="BG6" i="1" s="1"/>
  <c r="AI21" i="1"/>
  <c r="AF21" i="1"/>
  <c r="BL27" i="1"/>
  <c r="BL28" i="1"/>
  <c r="BL29" i="1"/>
  <c r="BN29" i="1" s="1"/>
  <c r="BG5" i="1"/>
  <c r="BM28" i="1" l="1"/>
  <c r="BN28" i="1" s="1"/>
  <c r="BM27" i="1"/>
  <c r="BN27" i="1" s="1"/>
  <c r="BE22" i="1"/>
  <c r="BG34" i="1"/>
  <c r="BG15" i="1" l="1"/>
  <c r="BH18" i="1"/>
  <c r="BG18" i="1"/>
  <c r="BH15" i="1"/>
  <c r="BE26" i="1"/>
  <c r="BE27" i="1"/>
  <c r="BE28" i="1"/>
  <c r="BE29" i="1"/>
  <c r="BE25" i="1"/>
  <c r="BK29" i="1" l="1"/>
  <c r="BI29" i="1"/>
  <c r="BK25" i="1"/>
  <c r="BL25" i="1" s="1"/>
  <c r="BI25" i="1"/>
  <c r="BK28" i="1"/>
  <c r="BI28" i="1"/>
  <c r="BK26" i="1"/>
  <c r="BL26" i="1" s="1"/>
  <c r="BM26" i="1" s="1"/>
  <c r="BN26" i="1" s="1"/>
  <c r="BI26" i="1"/>
  <c r="BK27" i="1"/>
  <c r="BI27" i="1"/>
  <c r="AF22" i="1"/>
  <c r="BG7" i="1" s="1"/>
  <c r="BM25" i="1" l="1"/>
  <c r="BN25" i="1" s="1"/>
  <c r="BN30" i="1" s="1"/>
  <c r="AO22" i="1" s="1"/>
  <c r="BI31" i="1"/>
  <c r="BH31" i="1"/>
  <c r="BE23" i="1"/>
  <c r="BG31" i="1"/>
  <c r="BG33" i="1" s="1"/>
  <c r="BH6" i="1" l="1"/>
  <c r="BI6" i="1" s="1"/>
  <c r="BI7" i="1"/>
  <c r="BH5" i="1"/>
  <c r="BI5" i="1" s="1"/>
  <c r="BH33" i="1"/>
  <c r="BH32" i="1"/>
  <c r="BG32" i="1"/>
  <c r="BG35" i="1" s="1"/>
  <c r="Q22" i="1" s="1"/>
  <c r="B11" i="2"/>
  <c r="K22" i="1"/>
  <c r="A1" i="1"/>
  <c r="AC21" i="1"/>
  <c r="Z21" i="1"/>
  <c r="W21" i="1"/>
  <c r="K21" i="1"/>
  <c r="T7" i="2"/>
  <c r="B14" i="2" s="1"/>
  <c r="B15" i="2" s="1"/>
  <c r="N22" i="1" s="1"/>
  <c r="B12" i="2"/>
  <c r="AB6" i="2"/>
  <c r="F22" i="1"/>
  <c r="B10" i="2"/>
  <c r="B9" i="2"/>
  <c r="AH7" i="1"/>
  <c r="O9" i="1"/>
  <c r="T22" i="1" l="1"/>
  <c r="B13" i="2"/>
  <c r="AD9" i="1" s="1"/>
  <c r="AN6" i="1" s="1"/>
  <c r="BG2" i="1" s="1"/>
  <c r="BG3" i="1" l="1"/>
  <c r="BG4" i="1"/>
  <c r="BH4" i="1" l="1"/>
  <c r="BI4" i="1" s="1"/>
  <c r="BH2" i="1"/>
  <c r="BI2" i="1" s="1"/>
  <c r="BH3" i="1"/>
  <c r="BI3" i="1" s="1"/>
  <c r="BI8" i="1" l="1"/>
  <c r="F14" i="1" s="1"/>
</calcChain>
</file>

<file path=xl/sharedStrings.xml><?xml version="1.0" encoding="utf-8"?>
<sst xmlns="http://schemas.openxmlformats.org/spreadsheetml/2006/main" count="518" uniqueCount="136">
  <si>
    <t>Starship</t>
  </si>
  <si>
    <t>Base</t>
  </si>
  <si>
    <t>Fighter</t>
  </si>
  <si>
    <t>Ground Unit</t>
  </si>
  <si>
    <t>Mine</t>
  </si>
  <si>
    <t>Unit Type</t>
  </si>
  <si>
    <t>Empire</t>
  </si>
  <si>
    <t>Tech Advance Type</t>
  </si>
  <si>
    <t>Tech Level</t>
  </si>
  <si>
    <t>ISD</t>
  </si>
  <si>
    <t>Medium Infantry</t>
  </si>
  <si>
    <t>Ultralight Fighter</t>
  </si>
  <si>
    <t>Light Fighter</t>
  </si>
  <si>
    <t>Medium Fighter</t>
  </si>
  <si>
    <t>Heavy Fighter</t>
  </si>
  <si>
    <t>Superheavy Fighter</t>
  </si>
  <si>
    <t>GB</t>
  </si>
  <si>
    <t>CT</t>
  </si>
  <si>
    <t>FF</t>
  </si>
  <si>
    <t>DD</t>
  </si>
  <si>
    <t>CL</t>
  </si>
  <si>
    <t>CR</t>
  </si>
  <si>
    <t>CA</t>
  </si>
  <si>
    <t>CB</t>
  </si>
  <si>
    <t>BB</t>
  </si>
  <si>
    <t>DN</t>
  </si>
  <si>
    <t>SD</t>
  </si>
  <si>
    <t>ULF</t>
  </si>
  <si>
    <t>LF</t>
  </si>
  <si>
    <t>MF</t>
  </si>
  <si>
    <t>HF</t>
  </si>
  <si>
    <t>SHF</t>
  </si>
  <si>
    <t>Commando</t>
  </si>
  <si>
    <t>Light Infantry</t>
  </si>
  <si>
    <t>Heavy Infantry</t>
  </si>
  <si>
    <t>Ultralight Mine</t>
  </si>
  <si>
    <t>Light Mine</t>
  </si>
  <si>
    <t>Medium Mine</t>
  </si>
  <si>
    <t>Heavy Mine</t>
  </si>
  <si>
    <t>Superheavy Mine</t>
  </si>
  <si>
    <t>ULM</t>
  </si>
  <si>
    <t>LM</t>
  </si>
  <si>
    <t>MM</t>
  </si>
  <si>
    <t>HM</t>
  </si>
  <si>
    <t>SHM</t>
  </si>
  <si>
    <t>CP Available</t>
  </si>
  <si>
    <t>TechMod</t>
  </si>
  <si>
    <t>Tech Compare</t>
  </si>
  <si>
    <t>Base CP</t>
  </si>
  <si>
    <t>Tech CP</t>
  </si>
  <si>
    <t>Tech Add</t>
  </si>
  <si>
    <t>CP Remaining</t>
  </si>
  <si>
    <t xml:space="preserve"> Empire Stats</t>
  </si>
  <si>
    <t xml:space="preserve"> Unit Stats</t>
  </si>
  <si>
    <t>Class Override</t>
  </si>
  <si>
    <t>Class Name</t>
  </si>
  <si>
    <t xml:space="preserve"> Class Description</t>
  </si>
  <si>
    <t>Class</t>
  </si>
  <si>
    <t>COM</t>
  </si>
  <si>
    <t>INF</t>
  </si>
  <si>
    <t>Cost</t>
  </si>
  <si>
    <t>Maint</t>
  </si>
  <si>
    <t>Special Notes</t>
  </si>
  <si>
    <t>Special Abilities</t>
  </si>
  <si>
    <t xml:space="preserve"> Class Stats</t>
  </si>
  <si>
    <t xml:space="preserve"> Warnings !</t>
  </si>
  <si>
    <t>Ability</t>
  </si>
  <si>
    <t>CP Cost</t>
  </si>
  <si>
    <t>Ship</t>
  </si>
  <si>
    <t>Flight</t>
  </si>
  <si>
    <t>Ground</t>
  </si>
  <si>
    <t>Anti-Aircraft</t>
  </si>
  <si>
    <t>N</t>
  </si>
  <si>
    <t>Y</t>
  </si>
  <si>
    <t>Artillery</t>
  </si>
  <si>
    <t>Compact</t>
  </si>
  <si>
    <t>Marines</t>
  </si>
  <si>
    <t>Mercenary</t>
  </si>
  <si>
    <t>Peacekeeper</t>
  </si>
  <si>
    <t>Remote Controlled</t>
  </si>
  <si>
    <t>Robotic</t>
  </si>
  <si>
    <t>Shock</t>
  </si>
  <si>
    <t>Armor</t>
  </si>
  <si>
    <t>Assault</t>
  </si>
  <si>
    <t>Atmospheric</t>
  </si>
  <si>
    <t>Auto-Repair</t>
  </si>
  <si>
    <t>Blockade Runner</t>
  </si>
  <si>
    <t>Boarding</t>
  </si>
  <si>
    <t>Carrier</t>
  </si>
  <si>
    <t>Diplomatic</t>
  </si>
  <si>
    <t>Disruptor</t>
  </si>
  <si>
    <t>Explorer</t>
  </si>
  <si>
    <t>Fast</t>
  </si>
  <si>
    <t>Guardian</t>
  </si>
  <si>
    <t>Gunship</t>
  </si>
  <si>
    <t>Hospital</t>
  </si>
  <si>
    <t>Interdictor</t>
  </si>
  <si>
    <t>Jammer</t>
  </si>
  <si>
    <t>Mass Driver</t>
  </si>
  <si>
    <t>Minelayer</t>
  </si>
  <si>
    <t>Minesweeper</t>
  </si>
  <si>
    <t>Missile</t>
  </si>
  <si>
    <t>Mobile Shipyard</t>
  </si>
  <si>
    <t>Police</t>
  </si>
  <si>
    <t>Q-Ship</t>
  </si>
  <si>
    <t>Scout</t>
  </si>
  <si>
    <t>Security</t>
  </si>
  <si>
    <t>Shields</t>
  </si>
  <si>
    <t>Slow</t>
  </si>
  <si>
    <t>Stealth</t>
  </si>
  <si>
    <t>Suicide</t>
  </si>
  <si>
    <t>Supply</t>
  </si>
  <si>
    <t>Supply Depot</t>
  </si>
  <si>
    <t>Tender</t>
  </si>
  <si>
    <t>Towing</t>
  </si>
  <si>
    <t>Trade</t>
  </si>
  <si>
    <t>ShipList</t>
  </si>
  <si>
    <t>Non-Atmospheric</t>
  </si>
  <si>
    <t>FighterList</t>
  </si>
  <si>
    <t>BaseList</t>
  </si>
  <si>
    <t>MineList</t>
  </si>
  <si>
    <t>GroundList</t>
  </si>
  <si>
    <t>Stack</t>
  </si>
  <si>
    <t>CP</t>
  </si>
  <si>
    <t>Num</t>
  </si>
  <si>
    <t>Den</t>
  </si>
  <si>
    <t>ISD/TL</t>
  </si>
  <si>
    <t>DV</t>
  </si>
  <si>
    <t>AS</t>
  </si>
  <si>
    <t>AF</t>
  </si>
  <si>
    <t>CC</t>
  </si>
  <si>
    <t>CV</t>
  </si>
  <si>
    <t>ATR</t>
  </si>
  <si>
    <t>DEF</t>
  </si>
  <si>
    <t>ATK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</si>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</sst>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5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7" xfId="0" applyFont="1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4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3" xfId="0" applyFill="1" applyBorder="1"/>
    <xf numFmtId="0" fontId="0" fillId="0" borderId="14" xfId="0" applyFill="1" applyBorder="1"/>
    <xf numFmtId="0" fontId="0" fillId="4" borderId="0" xfId="0" applyFill="1"/>
    <xf numFmtId="0" fontId="0" fillId="0" borderId="2" xfId="0" applyFill="1" applyBorder="1"/>
    <xf numFmtId="0" fontId="4" fillId="0" borderId="0" xfId="0" applyFont="1" applyFill="1"/>
    <xf numFmtId="0" fontId="4" fillId="0" borderId="0" xfId="0" applyFont="1"/>
    <xf numFmtId="0" fontId="4" fillId="0" borderId="0" xfId="0" applyFont="1" applyBorder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quotePrefix="1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16" fontId="1" fillId="0" borderId="0" xfId="0" applyNumberFormat="1" applyFont="1" applyAlignment="1">
      <alignment horizontal="center"/>
    </xf>
    <xf numFmtId="12" fontId="1" fillId="0" borderId="0" xfId="0" applyNumberFormat="1" applyFont="1" applyAlignment="1">
      <alignment horizontal="center"/>
    </xf>
    <xf numFmtId="12" fontId="1" fillId="0" borderId="0" xfId="0" quotePrefix="1" applyNumberFormat="1" applyFont="1" applyAlignment="1">
      <alignment horizontal="center"/>
    </xf>
    <xf numFmtId="16" fontId="1" fillId="0" borderId="0" xfId="0" quotePrefix="1" applyNumberFormat="1" applyFont="1" applyAlignment="1">
      <alignment horizontal="center"/>
    </xf>
    <xf numFmtId="0" fontId="7" fillId="0" borderId="0" xfId="0" applyFont="1"/>
    <xf numFmtId="1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center" textRotation="90"/>
    </xf>
    <xf numFmtId="0" fontId="4" fillId="5" borderId="8" xfId="0" applyFont="1" applyFill="1" applyBorder="1" applyAlignment="1">
      <alignment horizontal="center" textRotation="90"/>
    </xf>
    <xf numFmtId="0" fontId="4" fillId="5" borderId="10" xfId="0" applyFont="1" applyFill="1" applyBorder="1" applyAlignment="1">
      <alignment horizontal="center" textRotation="90"/>
    </xf>
    <xf numFmtId="0" fontId="4" fillId="5" borderId="0" xfId="0" applyFont="1" applyFill="1" applyBorder="1" applyAlignment="1">
      <alignment horizontal="center" textRotation="90"/>
    </xf>
    <xf numFmtId="0" fontId="4" fillId="5" borderId="12" xfId="0" applyFont="1" applyFill="1" applyBorder="1" applyAlignment="1">
      <alignment horizontal="center" textRotation="90"/>
    </xf>
    <xf numFmtId="0" fontId="4" fillId="5" borderId="13" xfId="0" applyFont="1" applyFill="1" applyBorder="1" applyAlignment="1">
      <alignment horizontal="center" textRotation="9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horizontal="center" shrinkToFit="1"/>
    </xf>
    <xf numFmtId="0" fontId="1" fillId="3" borderId="6" xfId="0" applyFont="1" applyFill="1" applyBorder="1" applyAlignment="1">
      <alignment horizontal="center" shrinkToFi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shrinkToFit="1"/>
      <protection locked="0"/>
    </xf>
    <xf numFmtId="0" fontId="1" fillId="2" borderId="5" xfId="0" applyFont="1" applyFill="1" applyBorder="1" applyAlignment="1" applyProtection="1">
      <alignment horizontal="center" shrinkToFit="1"/>
      <protection locked="0"/>
    </xf>
    <xf numFmtId="0" fontId="1" fillId="2" borderId="6" xfId="0" applyFont="1" applyFill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5">
    <dxf>
      <font>
        <color rgb="FFFF000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Spin" dx="16" fmlaLink="$W$22" max="30000" page="10" val="0"/>
</file>

<file path=xl/ctrlProps/ctrlProp2.xml><?xml version="1.0" encoding="utf-8"?>
<formControlPr xmlns="http://schemas.microsoft.com/office/spreadsheetml/2009/9/main" objectType="Spin" dx="16" fmlaLink="$Z$22" max="30000" page="10" val="0"/>
</file>

<file path=xl/ctrlProps/ctrlProp3.xml><?xml version="1.0" encoding="utf-8"?>
<formControlPr xmlns="http://schemas.microsoft.com/office/spreadsheetml/2009/9/main" objectType="Spin" dx="16" fmlaLink="$AC$22" max="30000" page="10" val="0"/>
</file>

<file path=xl/ctrlProps/ctrlProp4.xml><?xml version="1.0" encoding="utf-8"?>
<formControlPr xmlns="http://schemas.microsoft.com/office/spreadsheetml/2009/9/main" objectType="Spin" dx="16" fmlaLink="$AF$23" max="30000" page="10" val="0"/>
</file>

<file path=xl/ctrlProps/ctrlProp5.xml><?xml version="1.0" encoding="utf-8"?>
<formControlPr xmlns="http://schemas.microsoft.com/office/spreadsheetml/2009/9/main" objectType="Spin" dx="16" fmlaLink="$AL$22" max="30000" page="10" val="0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22</xdr:row>
          <xdr:rowOff>104775</xdr:rowOff>
        </xdr:from>
        <xdr:to>
          <xdr:col>24</xdr:col>
          <xdr:colOff>104775</xdr:colOff>
          <xdr:row>25</xdr:row>
          <xdr:rowOff>95250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85725</xdr:colOff>
          <xdr:row>22</xdr:row>
          <xdr:rowOff>104775</xdr:rowOff>
        </xdr:from>
        <xdr:to>
          <xdr:col>27</xdr:col>
          <xdr:colOff>104775</xdr:colOff>
          <xdr:row>25</xdr:row>
          <xdr:rowOff>95250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85725</xdr:colOff>
          <xdr:row>22</xdr:row>
          <xdr:rowOff>104775</xdr:rowOff>
        </xdr:from>
        <xdr:to>
          <xdr:col>30</xdr:col>
          <xdr:colOff>104775</xdr:colOff>
          <xdr:row>25</xdr:row>
          <xdr:rowOff>95250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85725</xdr:colOff>
          <xdr:row>22</xdr:row>
          <xdr:rowOff>104775</xdr:rowOff>
        </xdr:from>
        <xdr:to>
          <xdr:col>33</xdr:col>
          <xdr:colOff>104775</xdr:colOff>
          <xdr:row>25</xdr:row>
          <xdr:rowOff>95250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85725</xdr:colOff>
          <xdr:row>22</xdr:row>
          <xdr:rowOff>104775</xdr:rowOff>
        </xdr:from>
        <xdr:to>
          <xdr:col>39</xdr:col>
          <xdr:colOff>104775</xdr:colOff>
          <xdr:row>25</xdr:row>
          <xdr:rowOff>95250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47625</xdr:rowOff>
        </xdr:from>
        <xdr:to>
          <xdr:col>12</xdr:col>
          <xdr:colOff>0</xdr:colOff>
          <xdr:row>27</xdr:row>
          <xdr:rowOff>66675</xdr:rowOff>
        </xdr:to>
        <xdr:sp macro="" textlink="">
          <xdr:nvSpPr>
            <xdr:cNvPr id="1045" name="cmdClear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24</xdr:row>
          <xdr:rowOff>38100</xdr:rowOff>
        </xdr:from>
        <xdr:to>
          <xdr:col>18</xdr:col>
          <xdr:colOff>38100</xdr:colOff>
          <xdr:row>27</xdr:row>
          <xdr:rowOff>76200</xdr:rowOff>
        </xdr:to>
        <xdr:sp macro="" textlink="">
          <xdr:nvSpPr>
            <xdr:cNvPr id="1046" name="cmdCopy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4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3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Z35"/>
  <sheetViews>
    <sheetView showGridLines="0" tabSelected="1" zoomScaleNormal="100" workbookViewId="0">
      <selection activeCell="F5" sqref="F5:M5"/>
    </sheetView>
  </sheetViews>
  <sheetFormatPr defaultColWidth="2.83203125" defaultRowHeight="12.75" x14ac:dyDescent="0.2"/>
  <cols>
    <col min="1" max="14" width="2.83203125" style="5"/>
    <col min="15" max="15" width="2.83203125" style="5" customWidth="1"/>
    <col min="16" max="55" width="2.83203125" style="5"/>
    <col min="56" max="56" width="2.83203125" style="31"/>
    <col min="57" max="59" width="2.83203125" style="31" customWidth="1"/>
    <col min="60" max="60" width="3.1640625" style="31" customWidth="1"/>
    <col min="61" max="61" width="2.83203125" style="31" customWidth="1"/>
    <col min="62" max="62" width="2.83203125" style="31"/>
    <col min="63" max="64" width="2.83203125" style="31" customWidth="1"/>
    <col min="65" max="65" width="2.83203125" style="31"/>
    <col min="66" max="66" width="2.83203125" style="31" customWidth="1"/>
    <col min="67" max="78" width="2.83203125" style="32"/>
    <col min="79" max="16384" width="2.83203125" style="5"/>
  </cols>
  <sheetData>
    <row r="1" spans="1:61" ht="12.75" customHeight="1" x14ac:dyDescent="0.2">
      <c r="A1" s="61" t="str">
        <f>" VBAM Design Workbook, version "&amp;Tables!A2&amp;"      "&amp;TEXT(Tables!A3,"dd-Mmm-YY")</f>
        <v xml:space="preserve"> VBAM Design Workbook, version 1.02      05-Oct-15</v>
      </c>
      <c r="B1" s="6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7"/>
    </row>
    <row r="2" spans="1:61" x14ac:dyDescent="0.2">
      <c r="A2" s="63"/>
      <c r="B2" s="64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/>
      <c r="BG2" s="31" t="str">
        <f>IF(AN6&lt;0,"Too many CP spent","")</f>
        <v/>
      </c>
      <c r="BH2" s="31" t="str">
        <f>IF(AND(BG2&lt;&gt;"",COUNTBLANK(BG3:BG7)&lt;5),", ","")</f>
        <v/>
      </c>
      <c r="BI2" s="31" t="str">
        <f>BG2&amp;BH2</f>
        <v/>
      </c>
    </row>
    <row r="3" spans="1:61" x14ac:dyDescent="0.2">
      <c r="A3" s="63"/>
      <c r="B3" s="64"/>
      <c r="C3" s="9"/>
      <c r="D3" s="9"/>
      <c r="E3" s="49" t="s">
        <v>52</v>
      </c>
      <c r="F3" s="50"/>
      <c r="G3" s="50"/>
      <c r="H3" s="50"/>
      <c r="I3" s="50"/>
      <c r="J3" s="5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49" t="s">
        <v>53</v>
      </c>
      <c r="Z3" s="50"/>
      <c r="AA3" s="50"/>
      <c r="AB3" s="50"/>
      <c r="AC3" s="51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/>
      <c r="BG3" s="31" t="str">
        <f>IF(AND(AB5="Ground Unit",W22&lt;=Q22/2),"ATR must be greater than cost / 2.","")</f>
        <v/>
      </c>
      <c r="BH3" s="31" t="str">
        <f>IF(AND(BG3&lt;&gt;"",COUNTBLANK(BG4:BG7)&lt;4),"; ","")</f>
        <v/>
      </c>
      <c r="BI3" s="31" t="str">
        <f t="shared" ref="BI3:BI7" si="0">BG3&amp;BH3</f>
        <v/>
      </c>
    </row>
    <row r="4" spans="1:61" x14ac:dyDescent="0.2">
      <c r="A4" s="63"/>
      <c r="B4" s="64"/>
      <c r="C4" s="9"/>
      <c r="D4" s="9"/>
      <c r="E4" s="8"/>
      <c r="F4" s="9"/>
      <c r="G4" s="9"/>
      <c r="H4" s="9"/>
      <c r="I4" s="9"/>
      <c r="J4" s="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9"/>
      <c r="X4" s="9"/>
      <c r="Y4" s="8"/>
      <c r="Z4" s="9"/>
      <c r="AA4" s="9"/>
      <c r="AB4" s="9"/>
      <c r="AC4" s="9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9"/>
      <c r="AU4" s="9"/>
      <c r="AV4" s="9"/>
      <c r="AW4" s="9"/>
      <c r="AX4" s="9"/>
      <c r="AY4" s="9"/>
      <c r="AZ4" s="9"/>
      <c r="BA4" s="9"/>
      <c r="BB4" s="9"/>
      <c r="BC4" s="10"/>
      <c r="BG4" s="31" t="str">
        <f>IF(AND(AB5="Base",W22&lt;=Q22/2),"DV must be greater than Cost / 2","")</f>
        <v/>
      </c>
      <c r="BH4" s="31" t="str">
        <f>IF(AND(BG4&lt;&gt;"",COUNTBLANK(BG5:BG7)&lt;3),"; ","")</f>
        <v/>
      </c>
      <c r="BI4" s="31" t="str">
        <f t="shared" si="0"/>
        <v/>
      </c>
    </row>
    <row r="5" spans="1:61" x14ac:dyDescent="0.2">
      <c r="A5" s="63"/>
      <c r="B5" s="64"/>
      <c r="C5" s="9"/>
      <c r="D5" s="9"/>
      <c r="E5" s="8"/>
      <c r="F5" s="74"/>
      <c r="G5" s="75"/>
      <c r="H5" s="75"/>
      <c r="I5" s="75"/>
      <c r="J5" s="75"/>
      <c r="K5" s="75"/>
      <c r="L5" s="75"/>
      <c r="M5" s="76"/>
      <c r="N5" s="9"/>
      <c r="O5" s="9" t="s">
        <v>6</v>
      </c>
      <c r="P5" s="9"/>
      <c r="Q5" s="9"/>
      <c r="R5" s="9"/>
      <c r="S5" s="9"/>
      <c r="T5" s="9"/>
      <c r="U5" s="9"/>
      <c r="V5" s="10"/>
      <c r="W5" s="9"/>
      <c r="X5" s="9"/>
      <c r="Y5" s="8"/>
      <c r="Z5" s="9"/>
      <c r="AA5" s="9"/>
      <c r="AB5" s="74"/>
      <c r="AC5" s="75"/>
      <c r="AD5" s="75"/>
      <c r="AE5" s="75"/>
      <c r="AF5" s="76"/>
      <c r="AG5" s="9"/>
      <c r="AH5" s="9" t="s">
        <v>5</v>
      </c>
      <c r="AI5" s="9"/>
      <c r="AJ5" s="9"/>
      <c r="AK5" s="9"/>
      <c r="AL5" s="9"/>
      <c r="AM5" s="9"/>
      <c r="AN5" s="9" t="s">
        <v>51</v>
      </c>
      <c r="AO5" s="9"/>
      <c r="AP5" s="9"/>
      <c r="AQ5" s="9"/>
      <c r="AR5" s="9"/>
      <c r="AS5" s="10"/>
      <c r="AT5" s="9"/>
      <c r="AU5" s="9"/>
      <c r="AV5" s="9"/>
      <c r="AW5" s="9"/>
      <c r="AX5" s="9"/>
      <c r="AY5" s="9"/>
      <c r="AZ5" s="9"/>
      <c r="BA5" s="9"/>
      <c r="BB5" s="9"/>
      <c r="BC5" s="10"/>
      <c r="BG5" s="31" t="str">
        <f>IF(AND(OR(AB5="Fighter",AB5="Mine"),W22&lt;1),"Must have DV of at least 1.","")</f>
        <v/>
      </c>
      <c r="BH5" s="31" t="str">
        <f>IF(AND(BG5&lt;&gt;"",COUNTBLANK(BG6:BG7)&lt;2),"; ","")</f>
        <v/>
      </c>
      <c r="BI5" s="31" t="str">
        <f t="shared" si="0"/>
        <v/>
      </c>
    </row>
    <row r="6" spans="1:61" x14ac:dyDescent="0.2">
      <c r="A6" s="63"/>
      <c r="B6" s="64"/>
      <c r="C6" s="9"/>
      <c r="D6" s="9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W6" s="9"/>
      <c r="X6" s="9"/>
      <c r="Y6" s="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3">
        <f>AD9-BE22-BI31</f>
        <v>0</v>
      </c>
      <c r="AO6" s="94"/>
      <c r="AP6" s="94"/>
      <c r="AQ6" s="94"/>
      <c r="AR6" s="95"/>
      <c r="AS6" s="10"/>
      <c r="AT6" s="9"/>
      <c r="AU6" s="9"/>
      <c r="AV6" s="9"/>
      <c r="AW6" s="9"/>
      <c r="AX6" s="9"/>
      <c r="AY6" s="9"/>
      <c r="AZ6" s="9"/>
      <c r="BA6" s="9"/>
      <c r="BB6" s="9"/>
      <c r="BC6" s="10"/>
      <c r="BG6" s="31" t="str">
        <f>IF(AND(AB5="Starship",W22&lt;=AI22),"DV must be greater than CC.","")</f>
        <v/>
      </c>
      <c r="BH6" s="31" t="str">
        <f>IF(AND(BG6&lt;&gt;"",BG7&lt;&gt;""),", ","")</f>
        <v/>
      </c>
      <c r="BI6" s="31" t="str">
        <f t="shared" si="0"/>
        <v/>
      </c>
    </row>
    <row r="7" spans="1:61" x14ac:dyDescent="0.2">
      <c r="A7" s="63"/>
      <c r="B7" s="64"/>
      <c r="C7" s="9"/>
      <c r="D7" s="9"/>
      <c r="E7" s="8"/>
      <c r="F7" s="9"/>
      <c r="G7" s="9"/>
      <c r="H7" s="9"/>
      <c r="I7" s="74" t="s">
        <v>8</v>
      </c>
      <c r="J7" s="75"/>
      <c r="K7" s="75"/>
      <c r="L7" s="75"/>
      <c r="M7" s="76"/>
      <c r="N7" s="9"/>
      <c r="O7" s="9" t="s">
        <v>7</v>
      </c>
      <c r="P7" s="9"/>
      <c r="Q7" s="9"/>
      <c r="R7" s="9"/>
      <c r="S7" s="9"/>
      <c r="T7" s="9"/>
      <c r="U7" s="9"/>
      <c r="V7" s="10"/>
      <c r="W7" s="9"/>
      <c r="X7" s="9"/>
      <c r="Y7" s="8"/>
      <c r="Z7" s="74"/>
      <c r="AA7" s="75"/>
      <c r="AB7" s="75"/>
      <c r="AC7" s="75"/>
      <c r="AD7" s="75"/>
      <c r="AE7" s="75"/>
      <c r="AF7" s="76"/>
      <c r="AG7" s="9"/>
      <c r="AH7" s="9" t="str">
        <f>IF(AB5="Mine","Mine Type",IF(AB5="Fighter","Fighter Type",IF(AB5="Ground Unit","Unit Class","Base Cost")))</f>
        <v>Base Cost</v>
      </c>
      <c r="AI7" s="9"/>
      <c r="AJ7" s="9"/>
      <c r="AK7" s="9"/>
      <c r="AL7" s="9"/>
      <c r="AM7" s="9"/>
      <c r="AN7" s="96"/>
      <c r="AO7" s="97"/>
      <c r="AP7" s="97"/>
      <c r="AQ7" s="97"/>
      <c r="AR7" s="98"/>
      <c r="AS7" s="10"/>
      <c r="AT7" s="9"/>
      <c r="AU7" s="9"/>
      <c r="AV7" s="9"/>
      <c r="AW7" s="9"/>
      <c r="AX7" s="9"/>
      <c r="AY7" s="9"/>
      <c r="AZ7" s="9"/>
      <c r="BA7" s="9"/>
      <c r="BB7" s="9"/>
      <c r="BC7" s="10"/>
      <c r="BG7" s="31" t="str">
        <f>IF(AND(AB5="Starship",AF22&lt;=AI22),"CR must be greater than CC.","")</f>
        <v/>
      </c>
      <c r="BI7" s="31" t="str">
        <f t="shared" si="0"/>
        <v/>
      </c>
    </row>
    <row r="8" spans="1:61" x14ac:dyDescent="0.2">
      <c r="A8" s="63"/>
      <c r="B8" s="64"/>
      <c r="C8" s="9"/>
      <c r="D8" s="9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9"/>
      <c r="X8" s="9"/>
      <c r="Y8" s="8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6"/>
      <c r="AO8" s="97"/>
      <c r="AP8" s="97"/>
      <c r="AQ8" s="97"/>
      <c r="AR8" s="98"/>
      <c r="AS8" s="10"/>
      <c r="AT8" s="9"/>
      <c r="AU8" s="9"/>
      <c r="AV8" s="9"/>
      <c r="AW8" s="9"/>
      <c r="AX8" s="9"/>
      <c r="AY8" s="9"/>
      <c r="AZ8" s="9"/>
      <c r="BA8" s="9"/>
      <c r="BB8" s="9"/>
      <c r="BC8" s="10"/>
      <c r="BI8" s="31" t="str">
        <f>CONCATENATE(BI2,BI3,BI4,BI5,BI6,BI7)</f>
        <v/>
      </c>
    </row>
    <row r="9" spans="1:61" x14ac:dyDescent="0.2">
      <c r="A9" s="63"/>
      <c r="B9" s="64"/>
      <c r="C9" s="9"/>
      <c r="D9" s="9"/>
      <c r="E9" s="8"/>
      <c r="F9" s="9"/>
      <c r="G9" s="9"/>
      <c r="H9" s="9"/>
      <c r="I9" s="74">
        <v>6</v>
      </c>
      <c r="J9" s="75"/>
      <c r="K9" s="75"/>
      <c r="L9" s="75"/>
      <c r="M9" s="76"/>
      <c r="N9" s="9"/>
      <c r="O9" s="9" t="str">
        <f>IF(I7="ISD","In-Service Date (ISD)","Tech Level")</f>
        <v>Tech Level</v>
      </c>
      <c r="P9" s="9"/>
      <c r="Q9" s="9"/>
      <c r="R9" s="9"/>
      <c r="S9" s="9"/>
      <c r="T9" s="9"/>
      <c r="U9" s="9"/>
      <c r="V9" s="10"/>
      <c r="W9" s="9"/>
      <c r="X9" s="9"/>
      <c r="Y9" s="8"/>
      <c r="Z9" s="9"/>
      <c r="AA9" s="9"/>
      <c r="AB9" s="9"/>
      <c r="AC9" s="9"/>
      <c r="AD9" s="87">
        <f>IF(ISERROR(Tables!B11),0,IF(Z7="",0,Tables!B11+Tables!B13))</f>
        <v>0</v>
      </c>
      <c r="AE9" s="88"/>
      <c r="AF9" s="89"/>
      <c r="AG9" s="9"/>
      <c r="AH9" s="9" t="s">
        <v>45</v>
      </c>
      <c r="AI9" s="9"/>
      <c r="AJ9" s="9"/>
      <c r="AK9" s="9"/>
      <c r="AL9" s="9"/>
      <c r="AM9" s="9"/>
      <c r="AN9" s="99"/>
      <c r="AO9" s="100"/>
      <c r="AP9" s="100"/>
      <c r="AQ9" s="100"/>
      <c r="AR9" s="101"/>
      <c r="AS9" s="10"/>
      <c r="AT9" s="9"/>
      <c r="AU9" s="9"/>
      <c r="AV9" s="9"/>
      <c r="AW9" s="9"/>
      <c r="AX9" s="9"/>
      <c r="AY9" s="9"/>
      <c r="AZ9" s="9"/>
      <c r="BA9" s="9"/>
      <c r="BB9" s="9"/>
      <c r="BC9" s="10"/>
    </row>
    <row r="10" spans="1:61" x14ac:dyDescent="0.2">
      <c r="A10" s="63"/>
      <c r="B10" s="64"/>
      <c r="C10" s="9"/>
      <c r="D10" s="9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9"/>
      <c r="X10" s="9"/>
      <c r="Y10" s="11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3"/>
      <c r="AT10" s="9"/>
      <c r="AU10" s="9"/>
      <c r="AV10" s="9"/>
      <c r="AW10" s="9"/>
      <c r="AX10" s="9"/>
      <c r="AY10" s="9"/>
      <c r="AZ10" s="9"/>
      <c r="BA10" s="9"/>
      <c r="BB10" s="9"/>
      <c r="BC10" s="10"/>
    </row>
    <row r="11" spans="1:61" x14ac:dyDescent="0.2">
      <c r="A11" s="63"/>
      <c r="B11" s="6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0"/>
    </row>
    <row r="12" spans="1:61" x14ac:dyDescent="0.2">
      <c r="A12" s="63"/>
      <c r="B12" s="64"/>
      <c r="C12" s="9"/>
      <c r="D12" s="9"/>
      <c r="E12" s="49" t="s">
        <v>65</v>
      </c>
      <c r="F12" s="50"/>
      <c r="G12" s="50"/>
      <c r="H12" s="50"/>
      <c r="I12" s="50"/>
      <c r="J12" s="5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4" t="s">
        <v>56</v>
      </c>
      <c r="Z12" s="6"/>
      <c r="AA12" s="6"/>
      <c r="AB12" s="6"/>
      <c r="AC12" s="6"/>
      <c r="AD12" s="6"/>
      <c r="AE12" s="6"/>
      <c r="AF12" s="7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0"/>
    </row>
    <row r="13" spans="1:61" x14ac:dyDescent="0.2">
      <c r="A13" s="63"/>
      <c r="B13" s="64"/>
      <c r="C13" s="9"/>
      <c r="D13" s="9"/>
      <c r="E13" s="8"/>
      <c r="F13" s="9"/>
      <c r="G13" s="9"/>
      <c r="H13" s="9"/>
      <c r="I13" s="9"/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9"/>
      <c r="X13" s="9"/>
      <c r="Y13" s="8"/>
      <c r="Z13" s="9"/>
      <c r="AA13" s="9"/>
      <c r="AB13" s="9"/>
      <c r="AC13" s="9"/>
      <c r="AD13" s="9"/>
      <c r="AE13" s="9"/>
      <c r="AF13" s="9"/>
      <c r="AG13" s="6"/>
      <c r="AH13" s="6"/>
      <c r="AI13" s="6"/>
      <c r="AJ13" s="6"/>
      <c r="AK13" s="7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0"/>
      <c r="BG13" s="31" t="s">
        <v>60</v>
      </c>
    </row>
    <row r="14" spans="1:61" x14ac:dyDescent="0.2">
      <c r="A14" s="63"/>
      <c r="B14" s="64"/>
      <c r="C14" s="9"/>
      <c r="D14" s="9"/>
      <c r="E14" s="8"/>
      <c r="F14" s="52" t="str">
        <f>BI8</f>
        <v/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4"/>
      <c r="V14" s="10"/>
      <c r="W14" s="9"/>
      <c r="X14" s="9"/>
      <c r="Y14" s="8"/>
      <c r="Z14" s="102"/>
      <c r="AA14" s="103"/>
      <c r="AB14" s="103"/>
      <c r="AC14" s="103"/>
      <c r="AD14" s="104"/>
      <c r="AE14" s="9"/>
      <c r="AF14" s="9" t="s">
        <v>55</v>
      </c>
      <c r="AG14" s="9"/>
      <c r="AH14" s="9"/>
      <c r="AI14" s="9"/>
      <c r="AJ14" s="9"/>
      <c r="AK14" s="10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10"/>
      <c r="BG14" s="31" t="s">
        <v>124</v>
      </c>
      <c r="BH14" s="31" t="s">
        <v>125</v>
      </c>
    </row>
    <row r="15" spans="1:61" x14ac:dyDescent="0.2">
      <c r="A15" s="63"/>
      <c r="B15" s="64"/>
      <c r="C15" s="9"/>
      <c r="D15" s="9"/>
      <c r="E15" s="8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7"/>
      <c r="V15" s="10"/>
      <c r="W15" s="9"/>
      <c r="X15" s="9"/>
      <c r="Y15" s="8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0"/>
      <c r="BG15" s="31">
        <f>IF(AB5="Ground Unit",VLOOKUP(Z7,GroundRange,3,FALSE),IF(AB5="Mine",VLOOKUP(Z7,MineRange,3,FALSE),IF(AB5="Fighter",VLOOKUP(Z7,FighterRange,3,FALSE),Z7)))</f>
        <v>0</v>
      </c>
      <c r="BH15" s="31">
        <f>IF(AB5="Mine",VLOOKUP(Z7,MineRange,4,FALSE),IF(AB5="Fighter",VLOOKUP(Z7,FighterRange,4,FALSE),1))</f>
        <v>1</v>
      </c>
    </row>
    <row r="16" spans="1:61" x14ac:dyDescent="0.2">
      <c r="A16" s="63"/>
      <c r="B16" s="64"/>
      <c r="C16" s="9"/>
      <c r="D16" s="9"/>
      <c r="E16" s="8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60"/>
      <c r="V16" s="10"/>
      <c r="W16" s="9"/>
      <c r="X16" s="9"/>
      <c r="Y16" s="8"/>
      <c r="Z16" s="9"/>
      <c r="AA16" s="9"/>
      <c r="AB16" s="74"/>
      <c r="AC16" s="75"/>
      <c r="AD16" s="76"/>
      <c r="AE16" s="9"/>
      <c r="AF16" s="9" t="s">
        <v>54</v>
      </c>
      <c r="AG16" s="9"/>
      <c r="AH16" s="9"/>
      <c r="AI16" s="9"/>
      <c r="AJ16" s="9"/>
      <c r="AK16" s="10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10"/>
      <c r="BG16" s="31" t="s">
        <v>61</v>
      </c>
    </row>
    <row r="17" spans="1:66" x14ac:dyDescent="0.2">
      <c r="A17" s="63"/>
      <c r="B17" s="64"/>
      <c r="C17" s="9"/>
      <c r="D17" s="9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9"/>
      <c r="X17" s="9"/>
      <c r="Y17" s="11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3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10"/>
      <c r="BG17" s="31" t="s">
        <v>124</v>
      </c>
      <c r="BH17" s="31" t="s">
        <v>125</v>
      </c>
    </row>
    <row r="18" spans="1:66" x14ac:dyDescent="0.2">
      <c r="A18" s="63"/>
      <c r="B18" s="6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10"/>
      <c r="BG18" s="31">
        <f>IF(AB5="Ground Unit",VLOOKUP(Z7,GroundRange,4,FALSE),IF(AB5="Mine",VLOOKUP(Z7,MineRange,5,FALSE),IF(AB5="Fighter",VLOOKUP(Z7,FighterRange,5,FALSE),VLOOKUP(Z7,StarshipRange,3,FALSE))))</f>
        <v>0</v>
      </c>
      <c r="BH18" s="31">
        <f>IF(AB5="Ground Unit",VLOOKUP(Z7,GroundRange,5,FALSE),IF(AB5="Mine",VLOOKUP(Z7,MineRange,6,FALSE),IF(AB5="Fighter",VLOOKUP(Z7,FighterRange,6,FALSE),VLOOKUP(Z7,StarshipRange,4,FALSE))))</f>
        <v>0</v>
      </c>
    </row>
    <row r="19" spans="1:66" x14ac:dyDescent="0.2">
      <c r="A19" s="63"/>
      <c r="B19" s="64"/>
      <c r="C19" s="9"/>
      <c r="D19" s="9"/>
      <c r="E19" s="49" t="s">
        <v>64</v>
      </c>
      <c r="F19" s="50"/>
      <c r="G19" s="50"/>
      <c r="H19" s="50"/>
      <c r="I19" s="50"/>
      <c r="J19" s="5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10"/>
    </row>
    <row r="20" spans="1:66" x14ac:dyDescent="0.2">
      <c r="A20" s="63"/>
      <c r="B20" s="64"/>
      <c r="C20" s="9"/>
      <c r="D20" s="9"/>
      <c r="E20" s="8"/>
      <c r="F20" s="9"/>
      <c r="G20" s="9"/>
      <c r="H20" s="9"/>
      <c r="I20" s="9"/>
      <c r="J20" s="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7"/>
      <c r="BB20" s="9"/>
      <c r="BC20" s="10"/>
    </row>
    <row r="21" spans="1:66" x14ac:dyDescent="0.2">
      <c r="A21" s="63"/>
      <c r="B21" s="64"/>
      <c r="C21" s="9"/>
      <c r="D21" s="9"/>
      <c r="E21" s="8"/>
      <c r="F21" s="77" t="s">
        <v>55</v>
      </c>
      <c r="G21" s="77"/>
      <c r="H21" s="77"/>
      <c r="I21" s="77"/>
      <c r="J21" s="77"/>
      <c r="K21" s="77" t="str">
        <f>IF(I7="ISD","ISD","TL")</f>
        <v>TL</v>
      </c>
      <c r="L21" s="77"/>
      <c r="M21" s="77"/>
      <c r="N21" s="77" t="s">
        <v>57</v>
      </c>
      <c r="O21" s="77"/>
      <c r="P21" s="77"/>
      <c r="Q21" s="77" t="s">
        <v>60</v>
      </c>
      <c r="R21" s="77"/>
      <c r="S21" s="77"/>
      <c r="T21" s="77" t="s">
        <v>61</v>
      </c>
      <c r="U21" s="77"/>
      <c r="V21" s="77"/>
      <c r="W21" s="77" t="str">
        <f>IF(AB5="Ground Unit","ATR","DV")</f>
        <v>DV</v>
      </c>
      <c r="X21" s="77"/>
      <c r="Y21" s="77"/>
      <c r="Z21" s="77" t="str">
        <f>IF(AB5="Ground Unit","DEF","AS")</f>
        <v>AS</v>
      </c>
      <c r="AA21" s="77"/>
      <c r="AB21" s="77"/>
      <c r="AC21" s="77" t="str">
        <f>IF(AB5="Ground Unit","ATK","AF")</f>
        <v>AF</v>
      </c>
      <c r="AD21" s="77"/>
      <c r="AE21" s="77"/>
      <c r="AF21" s="78" t="str">
        <f>IF(OR(AB5="",AB5="Starship"),"CR",IF(AB5="Ground Unit","DF",""))</f>
        <v>CR</v>
      </c>
      <c r="AG21" s="78"/>
      <c r="AH21" s="78"/>
      <c r="AI21" s="78" t="str">
        <f>IF(OR(AB5="",AB5="Starship"),"CC","")</f>
        <v>CC</v>
      </c>
      <c r="AJ21" s="78"/>
      <c r="AK21" s="78"/>
      <c r="AL21" s="78" t="str">
        <f>IF(OR(AB5="",AB5="Starship",AB5="Base",AB5="Mine"),"CV","")</f>
        <v>CV</v>
      </c>
      <c r="AM21" s="78"/>
      <c r="AN21" s="78"/>
      <c r="AO21" s="73" t="s">
        <v>62</v>
      </c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10"/>
      <c r="BB21" s="9"/>
      <c r="BC21" s="10"/>
    </row>
    <row r="22" spans="1:66" x14ac:dyDescent="0.2">
      <c r="A22" s="63"/>
      <c r="B22" s="64"/>
      <c r="C22" s="9"/>
      <c r="D22" s="9"/>
      <c r="E22" s="8"/>
      <c r="F22" s="90" t="str">
        <f>IF(Z14="","",Z14)</f>
        <v/>
      </c>
      <c r="G22" s="91"/>
      <c r="H22" s="91"/>
      <c r="I22" s="91"/>
      <c r="J22" s="92"/>
      <c r="K22" s="87">
        <f>IF(I9="","",I9)</f>
        <v>6</v>
      </c>
      <c r="L22" s="88"/>
      <c r="M22" s="89"/>
      <c r="N22" s="87" t="str">
        <f>IF(ISERROR(Tables!B15),"",IF(AB5="","",IF(AB16="",Tables!B15,AB16)))</f>
        <v/>
      </c>
      <c r="O22" s="88"/>
      <c r="P22" s="89"/>
      <c r="Q22" s="87">
        <f>IF(Z7="",0,IF(BG35=1,BG32,BG32&amp;"/"&amp;BG35))</f>
        <v>0</v>
      </c>
      <c r="R22" s="88"/>
      <c r="S22" s="89"/>
      <c r="T22" s="87">
        <f>IF(Z7="",0,IF(BH33=1,BH32,BH32&amp;"/"&amp;BH33))</f>
        <v>0</v>
      </c>
      <c r="U22" s="88"/>
      <c r="V22" s="89"/>
      <c r="W22" s="79">
        <v>0</v>
      </c>
      <c r="X22" s="80"/>
      <c r="Y22" s="81"/>
      <c r="Z22" s="79">
        <v>0</v>
      </c>
      <c r="AA22" s="80"/>
      <c r="AB22" s="81"/>
      <c r="AC22" s="79">
        <v>0</v>
      </c>
      <c r="AD22" s="80"/>
      <c r="AE22" s="81"/>
      <c r="AF22" s="82">
        <f>IF(AB5="Ground Unit","d"&amp;AF23+2,AF23)</f>
        <v>0</v>
      </c>
      <c r="AG22" s="83"/>
      <c r="AH22" s="83"/>
      <c r="AI22" s="84">
        <f>IF(AB5="Starship",VLOOKUP(Z7,StarshipRange,5,FALSE),0)</f>
        <v>0</v>
      </c>
      <c r="AJ22" s="84"/>
      <c r="AK22" s="84"/>
      <c r="AL22" s="85">
        <v>0</v>
      </c>
      <c r="AM22" s="85"/>
      <c r="AN22" s="86"/>
      <c r="AO22" s="70" t="str">
        <f>BN30</f>
        <v/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2"/>
      <c r="BA22" s="10"/>
      <c r="BB22" s="9"/>
      <c r="BC22" s="10"/>
      <c r="BE22" s="31">
        <f>SUM(W22+Z22+AC22)+IF(OR(AB5="Ground Unit",AB5="Starship"),AF23,0)+IF(OR(AB5&lt;&gt;"Fighter",AB5="Ground Unit"),AL22,0)</f>
        <v>0</v>
      </c>
    </row>
    <row r="23" spans="1:66" x14ac:dyDescent="0.2">
      <c r="A23" s="63"/>
      <c r="B23" s="64"/>
      <c r="C23" s="9"/>
      <c r="D23" s="9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3">
        <v>0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9"/>
      <c r="BC23" s="10"/>
      <c r="BE23" s="31">
        <f>IF(OR(AB5="",Z7=""),0,BE22)</f>
        <v>0</v>
      </c>
    </row>
    <row r="24" spans="1:66" x14ac:dyDescent="0.2">
      <c r="A24" s="63"/>
      <c r="B24" s="64"/>
      <c r="C24" s="9"/>
      <c r="D24" s="9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 t="s">
        <v>63</v>
      </c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9"/>
      <c r="BC24" s="10"/>
      <c r="BG24" s="31" t="s">
        <v>60</v>
      </c>
      <c r="BH24" s="31" t="s">
        <v>61</v>
      </c>
      <c r="BI24" s="31" t="s">
        <v>123</v>
      </c>
    </row>
    <row r="25" spans="1:66" x14ac:dyDescent="0.2">
      <c r="A25" s="63"/>
      <c r="B25" s="64"/>
      <c r="C25" s="9"/>
      <c r="D25" s="9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67"/>
      <c r="AQ25" s="68"/>
      <c r="AR25" s="68"/>
      <c r="AS25" s="68"/>
      <c r="AT25" s="68"/>
      <c r="AU25" s="68"/>
      <c r="AV25" s="68"/>
      <c r="AW25" s="69"/>
      <c r="AX25" s="74"/>
      <c r="AY25" s="75"/>
      <c r="AZ25" s="76"/>
      <c r="BA25" s="10"/>
      <c r="BB25" s="9"/>
      <c r="BC25" s="10"/>
      <c r="BE25" s="31">
        <f>VLOOKUP(AP25,SpecialRange,2,FALSE)</f>
        <v>0</v>
      </c>
      <c r="BG25" s="31">
        <f>VLOOKUP(AP25,SpecialRange,3,FALSE)</f>
        <v>0</v>
      </c>
      <c r="BH25" s="31">
        <f>VLOOKUP(AP25,SpecialRange,4,FALSE)</f>
        <v>0</v>
      </c>
      <c r="BI25" s="31">
        <f>VLOOKUP(AP25,SpecialRange,5,FALSE)*IF(BE25="Y",MAX(1,AX25),1)*IF(OR(AB5="Mine",AB5="Fighter"),2,1)</f>
        <v>0</v>
      </c>
      <c r="BK25" s="31" t="str">
        <f>IF(BE25="Y"," ("&amp;MAX(1,AX25)&amp;")","")</f>
        <v/>
      </c>
      <c r="BL25" s="31" t="str">
        <f>IF(AP25&lt;&gt;"",AP25&amp;BK25,"")</f>
        <v/>
      </c>
      <c r="BM25" s="31" t="str">
        <f>IF(AND(BL25&lt;&gt;"",COUNTBLANK(BL26:BL29)&lt;4),", ","")</f>
        <v/>
      </c>
      <c r="BN25" s="31" t="str">
        <f>BL25&amp;BM25</f>
        <v/>
      </c>
    </row>
    <row r="26" spans="1:66" x14ac:dyDescent="0.2">
      <c r="A26" s="63"/>
      <c r="B26" s="64"/>
      <c r="C26" s="9"/>
      <c r="D26" s="9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67"/>
      <c r="AQ26" s="68"/>
      <c r="AR26" s="68"/>
      <c r="AS26" s="68"/>
      <c r="AT26" s="68"/>
      <c r="AU26" s="68"/>
      <c r="AV26" s="68"/>
      <c r="AW26" s="69"/>
      <c r="AX26" s="74"/>
      <c r="AY26" s="75"/>
      <c r="AZ26" s="76"/>
      <c r="BA26" s="10"/>
      <c r="BB26" s="9"/>
      <c r="BC26" s="10"/>
      <c r="BE26" s="31">
        <f>VLOOKUP(AP26,SpecialRange,2,FALSE)</f>
        <v>0</v>
      </c>
      <c r="BG26" s="31">
        <f>VLOOKUP(AP26,SpecialRange,3,FALSE)</f>
        <v>0</v>
      </c>
      <c r="BH26" s="31">
        <f>VLOOKUP(AP26,SpecialRange,4,FALSE)</f>
        <v>0</v>
      </c>
      <c r="BI26" s="31">
        <f>VLOOKUP(AP26,SpecialRange,5,FALSE)*IF(BE26="Y",MAX(1,AX26),1)*IF(OR(AB6="Mine",AB6="Fighter"),2,1)</f>
        <v>0</v>
      </c>
      <c r="BK26" s="31" t="str">
        <f>IF(BE26="Y"," ("&amp;MAX(1,AX26)&amp;")","")</f>
        <v/>
      </c>
      <c r="BL26" s="31" t="str">
        <f t="shared" ref="BL26:BL29" si="1">IF(AP26&lt;&gt;"",AP26&amp;BK26,"")</f>
        <v/>
      </c>
      <c r="BM26" s="31" t="str">
        <f>IF(AND(BL26&lt;&gt;"",COUNTBLANK(BL27:BL29)&lt;3),", ","")</f>
        <v/>
      </c>
      <c r="BN26" s="31" t="str">
        <f t="shared" ref="BN26:BN29" si="2">BL26&amp;BM26</f>
        <v/>
      </c>
    </row>
    <row r="27" spans="1:66" x14ac:dyDescent="0.2">
      <c r="A27" s="63"/>
      <c r="B27" s="64"/>
      <c r="C27" s="9"/>
      <c r="D27" s="9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67"/>
      <c r="AQ27" s="68"/>
      <c r="AR27" s="68"/>
      <c r="AS27" s="68"/>
      <c r="AT27" s="68"/>
      <c r="AU27" s="68"/>
      <c r="AV27" s="68"/>
      <c r="AW27" s="69"/>
      <c r="AX27" s="74"/>
      <c r="AY27" s="75"/>
      <c r="AZ27" s="76"/>
      <c r="BA27" s="10"/>
      <c r="BB27" s="9"/>
      <c r="BC27" s="10"/>
      <c r="BE27" s="31">
        <f>VLOOKUP(AP27,SpecialRange,2,FALSE)</f>
        <v>0</v>
      </c>
      <c r="BG27" s="31">
        <f>VLOOKUP(AP27,SpecialRange,3,FALSE)</f>
        <v>0</v>
      </c>
      <c r="BH27" s="31">
        <f>VLOOKUP(AP27,SpecialRange,4,FALSE)</f>
        <v>0</v>
      </c>
      <c r="BI27" s="31">
        <f>VLOOKUP(AP27,SpecialRange,5,FALSE)*IF(BE27="Y",MAX(1,AX27),1)*IF(OR(AB7="Mine",AB7="Fighter"),2,1)</f>
        <v>0</v>
      </c>
      <c r="BK27" s="31" t="str">
        <f>IF(BE27="Y"," ("&amp;MAX(1,AX27)&amp;")","")</f>
        <v/>
      </c>
      <c r="BL27" s="31" t="str">
        <f t="shared" si="1"/>
        <v/>
      </c>
      <c r="BM27" s="31" t="str">
        <f>IF(AND(BL27&lt;&gt;"",COUNTBLANK(BL28:BL29)&lt;2),", ","")</f>
        <v/>
      </c>
      <c r="BN27" s="31" t="str">
        <f t="shared" si="2"/>
        <v/>
      </c>
    </row>
    <row r="28" spans="1:66" x14ac:dyDescent="0.2">
      <c r="A28" s="63"/>
      <c r="B28" s="64"/>
      <c r="C28" s="9"/>
      <c r="D28" s="9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67"/>
      <c r="AQ28" s="68"/>
      <c r="AR28" s="68"/>
      <c r="AS28" s="68"/>
      <c r="AT28" s="68"/>
      <c r="AU28" s="68"/>
      <c r="AV28" s="68"/>
      <c r="AW28" s="69"/>
      <c r="AX28" s="74"/>
      <c r="AY28" s="75"/>
      <c r="AZ28" s="76"/>
      <c r="BA28" s="10"/>
      <c r="BB28" s="9"/>
      <c r="BC28" s="10"/>
      <c r="BE28" s="31">
        <f>VLOOKUP(AP28,SpecialRange,2,FALSE)</f>
        <v>0</v>
      </c>
      <c r="BG28" s="31">
        <f>VLOOKUP(AP28,SpecialRange,3,FALSE)</f>
        <v>0</v>
      </c>
      <c r="BH28" s="31">
        <f>VLOOKUP(AP28,SpecialRange,4,FALSE)</f>
        <v>0</v>
      </c>
      <c r="BI28" s="31">
        <f>VLOOKUP(AP28,SpecialRange,5,FALSE)*IF(BE28="Y",MAX(1,AX28),1)*IF(OR(AB8="Mine",AB8="Fighter"),2,1)</f>
        <v>0</v>
      </c>
      <c r="BK28" s="31" t="str">
        <f>IF(BE28="Y"," ("&amp;MAX(1,AX28)&amp;")","")</f>
        <v/>
      </c>
      <c r="BL28" s="31" t="str">
        <f t="shared" si="1"/>
        <v/>
      </c>
      <c r="BM28" s="31" t="str">
        <f>IF(AND(BL28&lt;&gt;"",COUNTBLANK(BL29)&lt;1),", ","")</f>
        <v/>
      </c>
      <c r="BN28" s="31" t="str">
        <f t="shared" si="2"/>
        <v/>
      </c>
    </row>
    <row r="29" spans="1:66" x14ac:dyDescent="0.2">
      <c r="A29" s="63"/>
      <c r="B29" s="64"/>
      <c r="C29" s="9"/>
      <c r="D29" s="9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67"/>
      <c r="AQ29" s="68"/>
      <c r="AR29" s="68"/>
      <c r="AS29" s="68"/>
      <c r="AT29" s="68"/>
      <c r="AU29" s="68"/>
      <c r="AV29" s="68"/>
      <c r="AW29" s="69"/>
      <c r="AX29" s="74"/>
      <c r="AY29" s="75"/>
      <c r="AZ29" s="76"/>
      <c r="BA29" s="10"/>
      <c r="BB29" s="9"/>
      <c r="BC29" s="10"/>
      <c r="BE29" s="31">
        <f>VLOOKUP(AP29,SpecialRange,2,FALSE)</f>
        <v>0</v>
      </c>
      <c r="BG29" s="31">
        <f>VLOOKUP(AP29,SpecialRange,3,FALSE)</f>
        <v>0</v>
      </c>
      <c r="BH29" s="31">
        <f>VLOOKUP(AP29,SpecialRange,4,FALSE)</f>
        <v>0</v>
      </c>
      <c r="BI29" s="31">
        <f>VLOOKUP(AP29,SpecialRange,5,FALSE)*IF(BE29="Y",MAX(1,AX29),1)*IF(OR(AB9="Mine",AB9="Fighter"),2,1)</f>
        <v>0</v>
      </c>
      <c r="BK29" s="31" t="str">
        <f>IF(BE29="Y"," ("&amp;MAX(1,AX29)&amp;")","")</f>
        <v/>
      </c>
      <c r="BL29" s="31" t="str">
        <f t="shared" si="1"/>
        <v/>
      </c>
      <c r="BN29" s="31" t="str">
        <f t="shared" si="2"/>
        <v/>
      </c>
    </row>
    <row r="30" spans="1:66" x14ac:dyDescent="0.2">
      <c r="A30" s="63"/>
      <c r="B30" s="64"/>
      <c r="C30" s="9"/>
      <c r="D30" s="9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3"/>
      <c r="BB30" s="9"/>
      <c r="BC30" s="10"/>
      <c r="BN30" s="31" t="str">
        <f>CONCATENATE(BN25,BN26,BN27,BN28,BN29)</f>
        <v/>
      </c>
    </row>
    <row r="31" spans="1:66" x14ac:dyDescent="0.2">
      <c r="A31" s="63"/>
      <c r="B31" s="6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10"/>
      <c r="BG31" s="31">
        <f>SUM(BG25:BG29)</f>
        <v>0</v>
      </c>
      <c r="BH31" s="31">
        <f t="shared" ref="BH31:BI31" si="3">SUM(BH25:BH29)</f>
        <v>0</v>
      </c>
      <c r="BI31" s="31">
        <f t="shared" si="3"/>
        <v>0</v>
      </c>
    </row>
    <row r="32" spans="1:66" x14ac:dyDescent="0.2">
      <c r="A32" s="65"/>
      <c r="B32" s="6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3"/>
      <c r="BF32" s="31" t="s">
        <v>124</v>
      </c>
      <c r="BG32" s="31">
        <f>IF(BG15+BG31&lt;1,1,BG15+BG31)</f>
        <v>1</v>
      </c>
      <c r="BH32" s="31">
        <f>IF(BG18+BH31&lt;1,1,BG18+BH31)</f>
        <v>1</v>
      </c>
    </row>
    <row r="33" spans="58:60" x14ac:dyDescent="0.2">
      <c r="BG33" s="31">
        <f>IF(BG15+BG31&lt;1,BH15+2,BH15)</f>
        <v>3</v>
      </c>
      <c r="BH33" s="31">
        <f>IF(BG18+BH31&lt;1,(BG18+-BH31-1)*2+BH18,BH18)</f>
        <v>-2</v>
      </c>
    </row>
    <row r="34" spans="58:60" x14ac:dyDescent="0.2">
      <c r="BG34" s="31" t="str">
        <f>IF(OR(AB5="Starship",AB5="Base",AB5="Ground Unit"),"Y","")</f>
        <v/>
      </c>
    </row>
    <row r="35" spans="58:60" x14ac:dyDescent="0.2">
      <c r="BF35" s="31" t="s">
        <v>125</v>
      </c>
      <c r="BG35" s="31">
        <f>IF(AND(BG34="Y",BG32=1,BG33&gt;2),2,BG33)</f>
        <v>3</v>
      </c>
    </row>
  </sheetData>
  <sheetProtection sheet="1" objects="1" scenarios="1" selectLockedCells="1"/>
  <mergeCells count="49">
    <mergeCell ref="F5:M5"/>
    <mergeCell ref="I7:M7"/>
    <mergeCell ref="I9:M9"/>
    <mergeCell ref="E3:J3"/>
    <mergeCell ref="Z7:AF7"/>
    <mergeCell ref="AD9:AF9"/>
    <mergeCell ref="AN6:AR9"/>
    <mergeCell ref="Y3:AC3"/>
    <mergeCell ref="AB16:AD16"/>
    <mergeCell ref="Z14:AD14"/>
    <mergeCell ref="AB5:AF5"/>
    <mergeCell ref="F22:J22"/>
    <mergeCell ref="F21:J21"/>
    <mergeCell ref="N22:P22"/>
    <mergeCell ref="N21:P21"/>
    <mergeCell ref="K21:M21"/>
    <mergeCell ref="K22:M22"/>
    <mergeCell ref="Q21:S21"/>
    <mergeCell ref="Q22:S22"/>
    <mergeCell ref="T21:V21"/>
    <mergeCell ref="T22:V22"/>
    <mergeCell ref="W21:Y21"/>
    <mergeCell ref="W22:Y22"/>
    <mergeCell ref="Z22:AB22"/>
    <mergeCell ref="AC22:AE22"/>
    <mergeCell ref="AF22:AH22"/>
    <mergeCell ref="AI22:AK22"/>
    <mergeCell ref="AL22:AN22"/>
    <mergeCell ref="AX27:AZ27"/>
    <mergeCell ref="AP28:AW28"/>
    <mergeCell ref="AX28:AZ28"/>
    <mergeCell ref="AP29:AW29"/>
    <mergeCell ref="AX29:AZ29"/>
    <mergeCell ref="E19:J19"/>
    <mergeCell ref="E12:J12"/>
    <mergeCell ref="F14:U16"/>
    <mergeCell ref="A1:B32"/>
    <mergeCell ref="AP27:AW27"/>
    <mergeCell ref="AO22:AZ22"/>
    <mergeCell ref="AO21:AZ21"/>
    <mergeCell ref="AX25:AZ25"/>
    <mergeCell ref="AP25:AW25"/>
    <mergeCell ref="AP26:AW26"/>
    <mergeCell ref="AX26:AZ26"/>
    <mergeCell ref="Z21:AB21"/>
    <mergeCell ref="AC21:AE21"/>
    <mergeCell ref="AF21:AH21"/>
    <mergeCell ref="AI21:AK21"/>
    <mergeCell ref="AL21:AN21"/>
  </mergeCells>
  <conditionalFormatting sqref="AL22:AN22">
    <cfRule type="expression" dxfId="4" priority="6">
      <formula>$AL$21&lt;&gt;""</formula>
    </cfRule>
  </conditionalFormatting>
  <conditionalFormatting sqref="AI22:AK22">
    <cfRule type="expression" dxfId="3" priority="5">
      <formula>$AI$21&lt;&gt;""</formula>
    </cfRule>
  </conditionalFormatting>
  <conditionalFormatting sqref="AF22:AH22">
    <cfRule type="expression" dxfId="2" priority="4">
      <formula>$AF$21&lt;&gt;""</formula>
    </cfRule>
  </conditionalFormatting>
  <conditionalFormatting sqref="AX25:AZ29">
    <cfRule type="expression" dxfId="1" priority="2">
      <formula>BE25&lt;&gt;"Y"</formula>
    </cfRule>
  </conditionalFormatting>
  <conditionalFormatting sqref="AN6:AR9">
    <cfRule type="expression" dxfId="0" priority="1">
      <formula>$AN$6&lt;0</formula>
    </cfRule>
  </conditionalFormatting>
  <dataValidations count="4">
    <dataValidation type="list" allowBlank="1" showInputMessage="1" showErrorMessage="1" sqref="AB5:AF5">
      <formula1>TemplateList</formula1>
    </dataValidation>
    <dataValidation type="list" allowBlank="1" showInputMessage="1" showErrorMessage="1" sqref="I7:M7">
      <formula1>TechAdvList</formula1>
    </dataValidation>
    <dataValidation type="list" allowBlank="1" showInputMessage="1" showErrorMessage="1" sqref="Z7:AF7">
      <formula1>IF($AB$5="Mine",MineList,IF($AB$5="Fighter",FighterList,IF($AB$5="Ground Unit",GroundList,StarshipCostList)))</formula1>
    </dataValidation>
    <dataValidation type="list" allowBlank="1" showInputMessage="1" showErrorMessage="1" sqref="AP25:AW29">
      <formula1>IF($AB$5="Mine",MineSpecList,IF($AB$5="Ground Unit",GroundSpecList,IF($AB$5="Base",BaseSpecList,IF($AB$5="Fighter",FighterSpecList,ShipSpecList))))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45" r:id="rId4" name="cmdClear">
          <controlPr defaultSize="0" autoLine="0" autoPict="0" r:id="rId5">
            <anchor moveWithCells="1">
              <from>
                <xdr:col>6</xdr:col>
                <xdr:colOff>152400</xdr:colOff>
                <xdr:row>24</xdr:row>
                <xdr:rowOff>47625</xdr:rowOff>
              </from>
              <to>
                <xdr:col>12</xdr:col>
                <xdr:colOff>0</xdr:colOff>
                <xdr:row>27</xdr:row>
                <xdr:rowOff>66675</xdr:rowOff>
              </to>
            </anchor>
          </controlPr>
        </control>
      </mc:Choice>
      <mc:Fallback>
        <control shapeId="1045" r:id="rId4" name="cmdClear"/>
      </mc:Fallback>
    </mc:AlternateContent>
    <mc:AlternateContent xmlns:mc="http://schemas.openxmlformats.org/markup-compatibility/2006">
      <mc:Choice Requires="x14">
        <control shapeId="1046" r:id="rId6" name="cmdCopy">
          <controlPr defaultSize="0" autoLine="0" autoPict="0" r:id="rId7">
            <anchor moveWithCells="1">
              <from>
                <xdr:col>13</xdr:col>
                <xdr:colOff>19050</xdr:colOff>
                <xdr:row>24</xdr:row>
                <xdr:rowOff>38100</xdr:rowOff>
              </from>
              <to>
                <xdr:col>18</xdr:col>
                <xdr:colOff>38100</xdr:colOff>
                <xdr:row>27</xdr:row>
                <xdr:rowOff>76200</xdr:rowOff>
              </to>
            </anchor>
          </controlPr>
        </control>
      </mc:Choice>
      <mc:Fallback>
        <control shapeId="1046" r:id="rId6" name="cmdCopy"/>
      </mc:Fallback>
    </mc:AlternateContent>
    <mc:AlternateContent xmlns:mc="http://schemas.openxmlformats.org/markup-compatibility/2006">
      <mc:Choice Requires="x14">
        <control shapeId="1037" r:id="rId8" name="Spinner 13">
          <controlPr defaultSize="0" autoPict="0">
            <anchor moveWithCells="1" sizeWithCells="1">
              <from>
                <xdr:col>22</xdr:col>
                <xdr:colOff>85725</xdr:colOff>
                <xdr:row>22</xdr:row>
                <xdr:rowOff>104775</xdr:rowOff>
              </from>
              <to>
                <xdr:col>24</xdr:col>
                <xdr:colOff>104775</xdr:colOff>
                <xdr:row>25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9" name="Spinner 14">
          <controlPr defaultSize="0" autoPict="0">
            <anchor moveWithCells="1" sizeWithCells="1">
              <from>
                <xdr:col>25</xdr:col>
                <xdr:colOff>85725</xdr:colOff>
                <xdr:row>22</xdr:row>
                <xdr:rowOff>104775</xdr:rowOff>
              </from>
              <to>
                <xdr:col>27</xdr:col>
                <xdr:colOff>104775</xdr:colOff>
                <xdr:row>25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9" r:id="rId10" name="Spinner 15">
          <controlPr defaultSize="0" autoPict="0">
            <anchor moveWithCells="1" sizeWithCells="1">
              <from>
                <xdr:col>28</xdr:col>
                <xdr:colOff>85725</xdr:colOff>
                <xdr:row>22</xdr:row>
                <xdr:rowOff>104775</xdr:rowOff>
              </from>
              <to>
                <xdr:col>30</xdr:col>
                <xdr:colOff>104775</xdr:colOff>
                <xdr:row>25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11" name="Spinner 16">
          <controlPr defaultSize="0" autoPict="0">
            <anchor moveWithCells="1" sizeWithCells="1">
              <from>
                <xdr:col>31</xdr:col>
                <xdr:colOff>85725</xdr:colOff>
                <xdr:row>22</xdr:row>
                <xdr:rowOff>104775</xdr:rowOff>
              </from>
              <to>
                <xdr:col>33</xdr:col>
                <xdr:colOff>104775</xdr:colOff>
                <xdr:row>25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12" name="Spinner 17">
          <controlPr defaultSize="0" autoPict="0">
            <anchor moveWithCells="1" sizeWithCells="1">
              <from>
                <xdr:col>37</xdr:col>
                <xdr:colOff>85725</xdr:colOff>
                <xdr:row>22</xdr:row>
                <xdr:rowOff>104775</xdr:rowOff>
              </from>
              <to>
                <xdr:col>39</xdr:col>
                <xdr:colOff>104775</xdr:colOff>
                <xdr:row>25</xdr:row>
                <xdr:rowOff>95250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"/>
  <sheetViews>
    <sheetView workbookViewId="0">
      <pane ySplit="1" topLeftCell="A2" activePane="bottomLeft" state="frozen"/>
      <selection activeCell="F5" sqref="F5:M5"/>
      <selection pane="bottomLeft" activeCell="H15" sqref="H15"/>
    </sheetView>
  </sheetViews>
  <sheetFormatPr defaultRowHeight="12.75" x14ac:dyDescent="0.2"/>
  <cols>
    <col min="1" max="1" width="13.6640625" style="5" bestFit="1" customWidth="1"/>
    <col min="2" max="2" width="8.1640625" style="37" bestFit="1" customWidth="1"/>
    <col min="3" max="3" width="6.6640625" style="37" bestFit="1" customWidth="1"/>
    <col min="4" max="4" width="5.6640625" style="37" bestFit="1" customWidth="1"/>
    <col min="5" max="5" width="7" style="37" bestFit="1" customWidth="1"/>
    <col min="6" max="7" width="4.1640625" style="37" bestFit="1" customWidth="1"/>
    <col min="8" max="8" width="4" style="37" bestFit="1" customWidth="1"/>
    <col min="9" max="9" width="4.1640625" style="37" bestFit="1" customWidth="1"/>
    <col min="10" max="10" width="4.1640625" style="42" bestFit="1" customWidth="1"/>
    <col min="11" max="11" width="4.1640625" style="37" bestFit="1" customWidth="1"/>
    <col min="12" max="12" width="15.83203125" style="5" bestFit="1" customWidth="1"/>
    <col min="13" max="13" width="9.33203125" style="5" customWidth="1"/>
    <col min="14" max="16384" width="9.33203125" style="5"/>
  </cols>
  <sheetData>
    <row r="1" spans="1:13" x14ac:dyDescent="0.2">
      <c r="A1" s="34" t="s">
        <v>55</v>
      </c>
      <c r="B1" s="35" t="s">
        <v>126</v>
      </c>
      <c r="C1" s="35" t="s">
        <v>57</v>
      </c>
      <c r="D1" s="35" t="s">
        <v>60</v>
      </c>
      <c r="E1" s="35" t="s">
        <v>61</v>
      </c>
      <c r="F1" s="35" t="s">
        <v>127</v>
      </c>
      <c r="G1" s="35" t="s">
        <v>128</v>
      </c>
      <c r="H1" s="35" t="s">
        <v>129</v>
      </c>
      <c r="I1" s="35" t="s">
        <v>21</v>
      </c>
      <c r="J1" s="46" t="s">
        <v>130</v>
      </c>
      <c r="K1" s="47" t="s">
        <v>131</v>
      </c>
      <c r="L1" s="34" t="s">
        <v>62</v>
      </c>
      <c r="M1" s="32">
        <f>COUNTA(A:A)</f>
        <v>1</v>
      </c>
    </row>
    <row r="2" spans="1:13" x14ac:dyDescent="0.2">
      <c r="E2" s="40"/>
    </row>
    <row r="3" spans="1:13" x14ac:dyDescent="0.2">
      <c r="E3" s="40"/>
      <c r="J3" s="43"/>
    </row>
    <row r="4" spans="1:13" x14ac:dyDescent="0.2">
      <c r="E4" s="44"/>
      <c r="J4" s="43"/>
    </row>
    <row r="5" spans="1:13" x14ac:dyDescent="0.2">
      <c r="E5" s="44"/>
    </row>
    <row r="6" spans="1:13" x14ac:dyDescent="0.2">
      <c r="E6" s="44"/>
    </row>
    <row r="7" spans="1:13" x14ac:dyDescent="0.2">
      <c r="E7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"/>
  <sheetViews>
    <sheetView workbookViewId="0">
      <pane ySplit="1" topLeftCell="A2" activePane="bottomLeft" state="frozen"/>
      <selection activeCell="F5" sqref="F5:M5"/>
      <selection pane="bottomLeft" activeCell="F12" sqref="F12"/>
    </sheetView>
  </sheetViews>
  <sheetFormatPr defaultRowHeight="12.75" x14ac:dyDescent="0.2"/>
  <cols>
    <col min="1" max="1" width="13.6640625" style="5" bestFit="1" customWidth="1"/>
    <col min="2" max="2" width="8.1640625" style="37" bestFit="1" customWidth="1"/>
    <col min="3" max="3" width="6.6640625" style="37" bestFit="1" customWidth="1"/>
    <col min="4" max="4" width="5.6640625" style="37" bestFit="1" customWidth="1"/>
    <col min="5" max="5" width="7" style="37" bestFit="1" customWidth="1"/>
    <col min="6" max="7" width="4.1640625" style="37" bestFit="1" customWidth="1"/>
    <col min="8" max="8" width="4" style="37" bestFit="1" customWidth="1"/>
    <col min="9" max="9" width="4.1640625" style="37" bestFit="1" customWidth="1"/>
    <col min="10" max="10" width="15.83203125" style="5" bestFit="1" customWidth="1"/>
    <col min="11" max="11" width="9.33203125" style="5" customWidth="1"/>
    <col min="12" max="16384" width="9.33203125" style="5"/>
  </cols>
  <sheetData>
    <row r="1" spans="1:11" x14ac:dyDescent="0.2">
      <c r="A1" s="34" t="s">
        <v>55</v>
      </c>
      <c r="B1" s="35" t="s">
        <v>126</v>
      </c>
      <c r="C1" s="35" t="s">
        <v>57</v>
      </c>
      <c r="D1" s="35" t="s">
        <v>60</v>
      </c>
      <c r="E1" s="35" t="s">
        <v>61</v>
      </c>
      <c r="F1" s="35" t="s">
        <v>127</v>
      </c>
      <c r="G1" s="35" t="s">
        <v>128</v>
      </c>
      <c r="H1" s="35" t="s">
        <v>129</v>
      </c>
      <c r="I1" s="35" t="s">
        <v>131</v>
      </c>
      <c r="J1" s="48" t="s">
        <v>62</v>
      </c>
      <c r="K1" s="32">
        <f>COUNTA(A:A)</f>
        <v>1</v>
      </c>
    </row>
    <row r="3" spans="1:11" x14ac:dyDescent="0.2">
      <c r="E3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"/>
  <sheetViews>
    <sheetView workbookViewId="0">
      <pane ySplit="1" topLeftCell="A2" activePane="bottomLeft" state="frozen"/>
      <selection activeCell="F5" sqref="F5:M5"/>
      <selection pane="bottomLeft" activeCell="E10" sqref="E10"/>
    </sheetView>
  </sheetViews>
  <sheetFormatPr defaultRowHeight="12.75" x14ac:dyDescent="0.2"/>
  <cols>
    <col min="1" max="1" width="13.6640625" style="5" bestFit="1" customWidth="1"/>
    <col min="2" max="2" width="8.1640625" style="37" bestFit="1" customWidth="1"/>
    <col min="3" max="3" width="6.6640625" style="37" bestFit="1" customWidth="1"/>
    <col min="4" max="4" width="5.6640625" style="37" bestFit="1" customWidth="1"/>
    <col min="5" max="5" width="7" style="37" bestFit="1" customWidth="1"/>
    <col min="6" max="7" width="4.1640625" style="37" bestFit="1" customWidth="1"/>
    <col min="8" max="8" width="4" style="37" bestFit="1" customWidth="1"/>
    <col min="9" max="9" width="15.83203125" style="5" bestFit="1" customWidth="1"/>
    <col min="10" max="10" width="9.33203125" style="5" customWidth="1"/>
    <col min="11" max="16384" width="9.33203125" style="5"/>
  </cols>
  <sheetData>
    <row r="1" spans="1:11" x14ac:dyDescent="0.2">
      <c r="A1" s="34" t="s">
        <v>55</v>
      </c>
      <c r="B1" s="35" t="s">
        <v>126</v>
      </c>
      <c r="C1" s="35" t="s">
        <v>57</v>
      </c>
      <c r="D1" s="35" t="s">
        <v>60</v>
      </c>
      <c r="E1" s="35" t="s">
        <v>61</v>
      </c>
      <c r="F1" s="35" t="s">
        <v>127</v>
      </c>
      <c r="G1" s="35" t="s">
        <v>128</v>
      </c>
      <c r="H1" s="35" t="s">
        <v>129</v>
      </c>
      <c r="I1" s="34" t="s">
        <v>62</v>
      </c>
      <c r="J1" s="32">
        <f>COUNTA(A:A)</f>
        <v>1</v>
      </c>
      <c r="K1" s="32"/>
    </row>
    <row r="2" spans="1:11" x14ac:dyDescent="0.2">
      <c r="D2" s="41"/>
      <c r="E2" s="40"/>
    </row>
    <row r="3" spans="1:11" x14ac:dyDescent="0.2">
      <c r="D3" s="40"/>
      <c r="E3" s="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"/>
  <sheetViews>
    <sheetView workbookViewId="0">
      <pane ySplit="1" topLeftCell="A2" activePane="bottomLeft" state="frozen"/>
      <selection activeCell="F5" sqref="F5:M5"/>
      <selection pane="bottomLeft" activeCell="A2" sqref="A2"/>
    </sheetView>
  </sheetViews>
  <sheetFormatPr defaultRowHeight="12.75" x14ac:dyDescent="0.2"/>
  <cols>
    <col min="1" max="1" width="13.6640625" style="5" bestFit="1" customWidth="1"/>
    <col min="2" max="2" width="8.1640625" style="37" bestFit="1" customWidth="1"/>
    <col min="3" max="3" width="6.6640625" style="37" bestFit="1" customWidth="1"/>
    <col min="4" max="4" width="5.6640625" style="37" bestFit="1" customWidth="1"/>
    <col min="5" max="5" width="7" style="37" bestFit="1" customWidth="1"/>
    <col min="6" max="7" width="4.1640625" style="37" bestFit="1" customWidth="1"/>
    <col min="8" max="8" width="4" style="37" bestFit="1" customWidth="1"/>
    <col min="9" max="9" width="15.83203125" style="5" bestFit="1" customWidth="1"/>
    <col min="10" max="10" width="9.33203125" style="5" customWidth="1"/>
    <col min="11" max="16384" width="9.33203125" style="5"/>
  </cols>
  <sheetData>
    <row r="1" spans="1:11" x14ac:dyDescent="0.2">
      <c r="A1" s="34" t="s">
        <v>55</v>
      </c>
      <c r="B1" s="35" t="s">
        <v>126</v>
      </c>
      <c r="C1" s="35" t="s">
        <v>57</v>
      </c>
      <c r="D1" s="35" t="s">
        <v>60</v>
      </c>
      <c r="E1" s="35" t="s">
        <v>61</v>
      </c>
      <c r="F1" s="35" t="s">
        <v>127</v>
      </c>
      <c r="G1" s="35" t="s">
        <v>128</v>
      </c>
      <c r="H1" s="35" t="s">
        <v>129</v>
      </c>
      <c r="I1" s="34" t="s">
        <v>62</v>
      </c>
      <c r="J1" s="32">
        <f>COUNTA(A:A)</f>
        <v>1</v>
      </c>
      <c r="K1" s="32"/>
    </row>
    <row r="2" spans="1:11" x14ac:dyDescent="0.2">
      <c r="D2" s="40"/>
      <c r="E2" s="40"/>
    </row>
    <row r="3" spans="1:11" x14ac:dyDescent="0.2">
      <c r="D3" s="40"/>
      <c r="E3" s="4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3"/>
  <sheetViews>
    <sheetView workbookViewId="0">
      <pane ySplit="1" topLeftCell="A2" activePane="bottomLeft" state="frozen"/>
      <selection activeCell="F5" sqref="F5:M5"/>
      <selection pane="bottomLeft" activeCell="A2" sqref="A2"/>
    </sheetView>
  </sheetViews>
  <sheetFormatPr defaultRowHeight="12.75" x14ac:dyDescent="0.2"/>
  <cols>
    <col min="1" max="1" width="13.6640625" style="5" bestFit="1" customWidth="1"/>
    <col min="2" max="2" width="8.1640625" style="37" bestFit="1" customWidth="1"/>
    <col min="3" max="3" width="6.6640625" style="37" bestFit="1" customWidth="1"/>
    <col min="4" max="4" width="5.6640625" style="37" bestFit="1" customWidth="1"/>
    <col min="5" max="5" width="7" style="39" bestFit="1" customWidth="1"/>
    <col min="6" max="6" width="5.5" style="37" bestFit="1" customWidth="1"/>
    <col min="7" max="7" width="5.33203125" style="37" bestFit="1" customWidth="1"/>
    <col min="8" max="8" width="5.5" style="37" bestFit="1" customWidth="1"/>
    <col min="9" max="9" width="4" style="37" bestFit="1" customWidth="1"/>
    <col min="10" max="11" width="9.33203125" style="5" customWidth="1"/>
    <col min="12" max="16384" width="9.33203125" style="5"/>
  </cols>
  <sheetData>
    <row r="1" spans="1:11" x14ac:dyDescent="0.2">
      <c r="A1" s="34" t="s">
        <v>55</v>
      </c>
      <c r="B1" s="35" t="s">
        <v>126</v>
      </c>
      <c r="C1" s="35" t="s">
        <v>57</v>
      </c>
      <c r="D1" s="35" t="s">
        <v>60</v>
      </c>
      <c r="E1" s="36" t="s">
        <v>61</v>
      </c>
      <c r="F1" s="35" t="s">
        <v>132</v>
      </c>
      <c r="G1" s="35" t="s">
        <v>133</v>
      </c>
      <c r="H1" s="35" t="s">
        <v>134</v>
      </c>
      <c r="I1" s="35" t="s">
        <v>135</v>
      </c>
      <c r="J1" s="45" t="s">
        <v>62</v>
      </c>
      <c r="K1" s="32">
        <f>COUNTA(A:A)</f>
        <v>1</v>
      </c>
    </row>
    <row r="2" spans="1:11" x14ac:dyDescent="0.2">
      <c r="E2" s="38"/>
    </row>
    <row r="3" spans="1:11" x14ac:dyDescent="0.2">
      <c r="E3" s="3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70"/>
  <sheetViews>
    <sheetView workbookViewId="0">
      <selection activeCell="A4" sqref="A4"/>
    </sheetView>
  </sheetViews>
  <sheetFormatPr defaultRowHeight="11.25" x14ac:dyDescent="0.2"/>
  <cols>
    <col min="1" max="1" width="9.6640625" bestFit="1" customWidth="1"/>
  </cols>
  <sheetData>
    <row r="1" spans="1:32" x14ac:dyDescent="0.2">
      <c r="B1" s="2"/>
      <c r="C1" s="15"/>
      <c r="D1" s="2"/>
      <c r="E1" s="18"/>
      <c r="F1" s="18"/>
      <c r="G1" s="18"/>
      <c r="H1" s="18"/>
      <c r="I1" s="19"/>
      <c r="K1" s="2"/>
      <c r="L1" s="18"/>
      <c r="M1" s="18"/>
      <c r="N1" s="18"/>
      <c r="O1" s="18"/>
      <c r="P1" s="18"/>
      <c r="Q1" s="19"/>
      <c r="S1" s="2"/>
      <c r="T1" s="18"/>
      <c r="U1" s="18"/>
      <c r="V1" s="18"/>
      <c r="W1" s="18"/>
      <c r="X1" s="18"/>
      <c r="Y1" s="19"/>
      <c r="AA1" s="2"/>
      <c r="AB1" s="18"/>
      <c r="AC1" s="18"/>
      <c r="AD1" s="18"/>
      <c r="AE1" s="18"/>
      <c r="AF1" s="19"/>
    </row>
    <row r="2" spans="1:32" x14ac:dyDescent="0.2">
      <c r="A2">
        <v>1.02</v>
      </c>
      <c r="B2" s="3" t="s">
        <v>1</v>
      </c>
      <c r="C2" s="16" t="s">
        <v>9</v>
      </c>
      <c r="D2" s="3">
        <v>1</v>
      </c>
      <c r="E2" s="20" t="s">
        <v>16</v>
      </c>
      <c r="F2" s="20">
        <v>1</v>
      </c>
      <c r="G2" s="20">
        <v>12</v>
      </c>
      <c r="H2" s="20">
        <v>0.5</v>
      </c>
      <c r="I2" s="21">
        <v>5</v>
      </c>
      <c r="K2" s="3" t="s">
        <v>11</v>
      </c>
      <c r="L2" s="20" t="s">
        <v>27</v>
      </c>
      <c r="M2" s="20">
        <v>1</v>
      </c>
      <c r="N2" s="20">
        <v>5</v>
      </c>
      <c r="O2" s="20">
        <v>1</v>
      </c>
      <c r="P2" s="20">
        <v>20</v>
      </c>
      <c r="Q2" s="21">
        <v>3</v>
      </c>
      <c r="S2" s="3" t="s">
        <v>35</v>
      </c>
      <c r="T2" s="20" t="s">
        <v>40</v>
      </c>
      <c r="U2" s="20">
        <v>1</v>
      </c>
      <c r="V2" s="20">
        <v>5</v>
      </c>
      <c r="W2" s="20">
        <v>1</v>
      </c>
      <c r="X2" s="20">
        <v>20</v>
      </c>
      <c r="Y2" s="21">
        <v>3</v>
      </c>
      <c r="AA2" s="3" t="s">
        <v>32</v>
      </c>
      <c r="AB2" s="20" t="s">
        <v>58</v>
      </c>
      <c r="AC2" s="25">
        <v>1</v>
      </c>
      <c r="AD2" s="25">
        <v>1</v>
      </c>
      <c r="AE2" s="25">
        <v>12</v>
      </c>
      <c r="AF2" s="26">
        <v>4</v>
      </c>
    </row>
    <row r="3" spans="1:32" x14ac:dyDescent="0.2">
      <c r="A3" s="1">
        <v>42282</v>
      </c>
      <c r="B3" s="3" t="s">
        <v>2</v>
      </c>
      <c r="C3" s="17" t="s">
        <v>8</v>
      </c>
      <c r="D3" s="3">
        <v>2</v>
      </c>
      <c r="E3" s="20" t="s">
        <v>17</v>
      </c>
      <c r="F3" s="20">
        <v>1</v>
      </c>
      <c r="G3" s="20">
        <v>8</v>
      </c>
      <c r="H3" s="20">
        <v>1</v>
      </c>
      <c r="I3" s="21">
        <v>7</v>
      </c>
      <c r="K3" s="3" t="s">
        <v>12</v>
      </c>
      <c r="L3" s="20" t="s">
        <v>28</v>
      </c>
      <c r="M3" s="20">
        <v>1</v>
      </c>
      <c r="N3" s="20">
        <v>4</v>
      </c>
      <c r="O3" s="20">
        <v>1</v>
      </c>
      <c r="P3" s="20">
        <v>16</v>
      </c>
      <c r="Q3" s="21">
        <v>4</v>
      </c>
      <c r="S3" s="3" t="s">
        <v>36</v>
      </c>
      <c r="T3" s="20" t="s">
        <v>41</v>
      </c>
      <c r="U3" s="20">
        <v>1</v>
      </c>
      <c r="V3" s="20">
        <v>4</v>
      </c>
      <c r="W3" s="20">
        <v>1</v>
      </c>
      <c r="X3" s="20">
        <v>16</v>
      </c>
      <c r="Y3" s="21">
        <v>4</v>
      </c>
      <c r="AA3" s="3" t="s">
        <v>33</v>
      </c>
      <c r="AB3" s="20" t="s">
        <v>59</v>
      </c>
      <c r="AC3" s="25">
        <v>2</v>
      </c>
      <c r="AD3" s="25">
        <v>1</v>
      </c>
      <c r="AE3" s="25">
        <v>8</v>
      </c>
      <c r="AF3" s="26">
        <v>6</v>
      </c>
    </row>
    <row r="4" spans="1:32" x14ac:dyDescent="0.2">
      <c r="B4" s="3" t="s">
        <v>3</v>
      </c>
      <c r="D4" s="3">
        <v>3</v>
      </c>
      <c r="E4" s="20" t="s">
        <v>18</v>
      </c>
      <c r="F4" s="20">
        <v>1</v>
      </c>
      <c r="G4" s="20">
        <v>6</v>
      </c>
      <c r="H4" s="20">
        <v>1</v>
      </c>
      <c r="I4" s="21">
        <v>9</v>
      </c>
      <c r="K4" s="3" t="s">
        <v>13</v>
      </c>
      <c r="L4" s="20" t="s">
        <v>29</v>
      </c>
      <c r="M4" s="20">
        <v>1</v>
      </c>
      <c r="N4" s="20">
        <v>3</v>
      </c>
      <c r="O4" s="20">
        <v>1</v>
      </c>
      <c r="P4" s="20">
        <v>12</v>
      </c>
      <c r="Q4" s="21">
        <v>5</v>
      </c>
      <c r="S4" s="3" t="s">
        <v>37</v>
      </c>
      <c r="T4" s="20" t="s">
        <v>42</v>
      </c>
      <c r="U4" s="20">
        <v>1</v>
      </c>
      <c r="V4" s="20">
        <v>3</v>
      </c>
      <c r="W4" s="20">
        <v>1</v>
      </c>
      <c r="X4" s="20">
        <v>12</v>
      </c>
      <c r="Y4" s="21">
        <v>5</v>
      </c>
      <c r="AA4" s="3" t="s">
        <v>10</v>
      </c>
      <c r="AB4" s="20" t="s">
        <v>59</v>
      </c>
      <c r="AC4" s="25">
        <v>3</v>
      </c>
      <c r="AD4" s="25">
        <v>1</v>
      </c>
      <c r="AE4" s="25">
        <v>6</v>
      </c>
      <c r="AF4" s="26">
        <v>8</v>
      </c>
    </row>
    <row r="5" spans="1:32" x14ac:dyDescent="0.2">
      <c r="B5" s="3" t="s">
        <v>4</v>
      </c>
      <c r="D5" s="3">
        <v>4</v>
      </c>
      <c r="E5" s="20" t="s">
        <v>19</v>
      </c>
      <c r="F5" s="20">
        <v>2</v>
      </c>
      <c r="G5" s="20">
        <v>6</v>
      </c>
      <c r="H5" s="20">
        <v>2</v>
      </c>
      <c r="I5" s="21">
        <v>14</v>
      </c>
      <c r="K5" s="3" t="s">
        <v>14</v>
      </c>
      <c r="L5" s="20" t="s">
        <v>30</v>
      </c>
      <c r="M5" s="20">
        <v>1</v>
      </c>
      <c r="N5" s="20">
        <v>2</v>
      </c>
      <c r="O5" s="20">
        <v>1</v>
      </c>
      <c r="P5" s="20">
        <v>8</v>
      </c>
      <c r="Q5" s="21">
        <v>6</v>
      </c>
      <c r="S5" s="3" t="s">
        <v>38</v>
      </c>
      <c r="T5" s="20" t="s">
        <v>43</v>
      </c>
      <c r="U5" s="20">
        <v>1</v>
      </c>
      <c r="V5" s="20">
        <v>2</v>
      </c>
      <c r="W5" s="20">
        <v>1</v>
      </c>
      <c r="X5" s="20">
        <v>8</v>
      </c>
      <c r="Y5" s="21">
        <v>6</v>
      </c>
      <c r="AA5" s="4" t="s">
        <v>34</v>
      </c>
      <c r="AB5" s="25" t="s">
        <v>59</v>
      </c>
      <c r="AC5" s="25">
        <v>4</v>
      </c>
      <c r="AD5" s="25">
        <v>2</v>
      </c>
      <c r="AE5" s="25">
        <v>6</v>
      </c>
      <c r="AF5" s="26">
        <v>10</v>
      </c>
    </row>
    <row r="6" spans="1:32" x14ac:dyDescent="0.2">
      <c r="B6" s="4" t="s">
        <v>0</v>
      </c>
      <c r="D6" s="3">
        <v>5</v>
      </c>
      <c r="E6" s="20" t="s">
        <v>20</v>
      </c>
      <c r="F6" s="20">
        <v>2</v>
      </c>
      <c r="G6" s="20">
        <v>4</v>
      </c>
      <c r="H6" s="20">
        <v>2</v>
      </c>
      <c r="I6" s="21">
        <v>17</v>
      </c>
      <c r="K6" s="4" t="s">
        <v>15</v>
      </c>
      <c r="L6" s="20" t="s">
        <v>31</v>
      </c>
      <c r="M6" s="20">
        <v>1</v>
      </c>
      <c r="N6" s="20">
        <v>1</v>
      </c>
      <c r="O6" s="20">
        <v>1</v>
      </c>
      <c r="P6" s="20">
        <v>4</v>
      </c>
      <c r="Q6" s="21">
        <v>7</v>
      </c>
      <c r="S6" s="4" t="s">
        <v>39</v>
      </c>
      <c r="T6" s="20" t="s">
        <v>44</v>
      </c>
      <c r="U6" s="20">
        <v>1</v>
      </c>
      <c r="V6" s="20">
        <v>1</v>
      </c>
      <c r="W6" s="20">
        <v>1</v>
      </c>
      <c r="X6" s="20">
        <v>4</v>
      </c>
      <c r="Y6" s="21">
        <v>7</v>
      </c>
      <c r="AA6" s="17">
        <v>0</v>
      </c>
      <c r="AB6" s="22" t="str">
        <f>""</f>
        <v/>
      </c>
      <c r="AC6" s="27">
        <v>0</v>
      </c>
      <c r="AD6" s="27">
        <v>0</v>
      </c>
      <c r="AE6" s="27">
        <v>0</v>
      </c>
      <c r="AF6" s="28">
        <v>0</v>
      </c>
    </row>
    <row r="7" spans="1:32" x14ac:dyDescent="0.2">
      <c r="D7" s="3">
        <v>6</v>
      </c>
      <c r="E7" s="20" t="s">
        <v>21</v>
      </c>
      <c r="F7" s="20">
        <v>2</v>
      </c>
      <c r="G7" s="20">
        <v>3</v>
      </c>
      <c r="H7" s="20">
        <v>3</v>
      </c>
      <c r="I7" s="21">
        <v>21</v>
      </c>
      <c r="K7" s="17">
        <v>0</v>
      </c>
      <c r="L7" s="22"/>
      <c r="M7" s="22">
        <v>0</v>
      </c>
      <c r="N7" s="22">
        <v>0</v>
      </c>
      <c r="O7" s="22">
        <v>0</v>
      </c>
      <c r="P7" s="22">
        <v>0</v>
      </c>
      <c r="Q7" s="23">
        <v>0</v>
      </c>
      <c r="S7" s="17">
        <v>0</v>
      </c>
      <c r="T7" s="22" t="str">
        <f>""</f>
        <v/>
      </c>
      <c r="U7" s="22">
        <v>0</v>
      </c>
      <c r="V7" s="22">
        <v>0</v>
      </c>
      <c r="W7" s="22">
        <v>0</v>
      </c>
      <c r="X7" s="22">
        <v>0</v>
      </c>
      <c r="Y7" s="23">
        <v>0</v>
      </c>
    </row>
    <row r="8" spans="1:32" x14ac:dyDescent="0.2">
      <c r="D8" s="3">
        <v>7</v>
      </c>
      <c r="E8" s="20" t="s">
        <v>22</v>
      </c>
      <c r="F8" s="20">
        <v>3</v>
      </c>
      <c r="G8" s="20">
        <v>4</v>
      </c>
      <c r="H8" s="20">
        <v>3</v>
      </c>
      <c r="I8" s="21">
        <v>23</v>
      </c>
    </row>
    <row r="9" spans="1:32" x14ac:dyDescent="0.2">
      <c r="B9" s="29">
        <f>IF(Design!I7="ISD",24,4)</f>
        <v>4</v>
      </c>
      <c r="C9" t="s">
        <v>46</v>
      </c>
      <c r="D9" s="3">
        <v>8</v>
      </c>
      <c r="E9" s="20" t="s">
        <v>23</v>
      </c>
      <c r="F9" s="20">
        <v>2</v>
      </c>
      <c r="G9" s="20">
        <v>2</v>
      </c>
      <c r="H9" s="20">
        <v>4</v>
      </c>
      <c r="I9" s="21">
        <v>26</v>
      </c>
    </row>
    <row r="10" spans="1:32" x14ac:dyDescent="0.2">
      <c r="B10" s="29">
        <f>Design!I9+IF(Design!I7="ISD",-3000,-6)</f>
        <v>0</v>
      </c>
      <c r="C10" t="s">
        <v>47</v>
      </c>
      <c r="D10" s="3">
        <v>9</v>
      </c>
      <c r="E10" s="20" t="s">
        <v>23</v>
      </c>
      <c r="F10" s="20">
        <v>5</v>
      </c>
      <c r="G10" s="20">
        <v>4</v>
      </c>
      <c r="H10" s="20">
        <v>4</v>
      </c>
      <c r="I10" s="21">
        <v>29</v>
      </c>
    </row>
    <row r="11" spans="1:32" x14ac:dyDescent="0.2">
      <c r="B11" s="29">
        <f>IF(Design!AB5="Mine",VLOOKUP(Design!Z7,MineRange,7,FALSE),IF(Design!AB5="Fighter",VLOOKUP(Design!Z7,FighterRange,7,FALSE),IF(Design!AB5="Ground Unit",VLOOKUP(Design!Z7,GroundRange,6,FALSE),VLOOKUP(Design!Z7,StarshipRange,6,FALSE))))</f>
        <v>0</v>
      </c>
      <c r="C11" t="s">
        <v>48</v>
      </c>
      <c r="D11" s="3">
        <v>10</v>
      </c>
      <c r="E11" s="20" t="s">
        <v>24</v>
      </c>
      <c r="F11" s="20">
        <v>3</v>
      </c>
      <c r="G11" s="20">
        <v>2</v>
      </c>
      <c r="H11" s="20">
        <v>5</v>
      </c>
      <c r="I11" s="21">
        <v>32</v>
      </c>
      <c r="S11">
        <v>1</v>
      </c>
    </row>
    <row r="12" spans="1:32" x14ac:dyDescent="0.2">
      <c r="B12" s="29">
        <f>IF(Design!AB5="Mine",2,IF(Design!AB5="Fighter",2,IF(Design!AB5="Ground Unit",VLOOKUP(Design!Z7,GroundRange,3,FALSE),Design!Z7)))</f>
        <v>0</v>
      </c>
      <c r="C12" t="s">
        <v>50</v>
      </c>
      <c r="D12" s="3">
        <v>11</v>
      </c>
      <c r="E12" s="20" t="s">
        <v>24</v>
      </c>
      <c r="F12" s="20">
        <v>7</v>
      </c>
      <c r="G12" s="20">
        <v>4</v>
      </c>
      <c r="H12" s="20">
        <v>5</v>
      </c>
      <c r="I12" s="21">
        <v>35</v>
      </c>
      <c r="S12">
        <v>2</v>
      </c>
    </row>
    <row r="13" spans="1:32" x14ac:dyDescent="0.2">
      <c r="B13" s="29">
        <f>ROUND(B10/B9*B12,0)</f>
        <v>0</v>
      </c>
      <c r="C13" t="s">
        <v>49</v>
      </c>
      <c r="D13" s="3">
        <v>12</v>
      </c>
      <c r="E13" s="20" t="s">
        <v>25</v>
      </c>
      <c r="F13" s="20">
        <v>4</v>
      </c>
      <c r="G13" s="20">
        <v>2</v>
      </c>
      <c r="H13" s="20">
        <v>6</v>
      </c>
      <c r="I13" s="21">
        <v>38</v>
      </c>
      <c r="S13">
        <v>3</v>
      </c>
    </row>
    <row r="14" spans="1:32" x14ac:dyDescent="0.2">
      <c r="B14" s="29">
        <f>IF(Design!AB5="Base","Base",IF(Design!AB5="Mine",VLOOKUP(Design!Z7,MineRange,2,FALSE),IF(Design!AB5="Fighter",VLOOKUP(Design!Z7,FighterRange,2,FALSE),IF(Design!AB5="Ground Unit",VLOOKUP(Design!Z7,GroundRange,2,FALSE),VLOOKUP(Design!Z7,StarshipRange,2,FALSE)))))</f>
        <v>0</v>
      </c>
      <c r="D14" s="3">
        <v>13</v>
      </c>
      <c r="E14" s="20" t="s">
        <v>25</v>
      </c>
      <c r="F14" s="20">
        <v>9</v>
      </c>
      <c r="G14" s="20">
        <v>4</v>
      </c>
      <c r="H14" s="20">
        <v>6</v>
      </c>
      <c r="I14" s="21">
        <v>41</v>
      </c>
      <c r="S14">
        <v>4</v>
      </c>
    </row>
    <row r="15" spans="1:32" x14ac:dyDescent="0.2">
      <c r="B15" s="29" t="str">
        <f>IF(B14=0,"",B14)</f>
        <v/>
      </c>
      <c r="C15" t="s">
        <v>57</v>
      </c>
      <c r="D15" s="3">
        <v>14</v>
      </c>
      <c r="E15" s="20" t="s">
        <v>26</v>
      </c>
      <c r="F15" s="20">
        <v>5</v>
      </c>
      <c r="G15" s="20">
        <v>2</v>
      </c>
      <c r="H15" s="20">
        <v>7</v>
      </c>
      <c r="I15" s="21">
        <v>44</v>
      </c>
      <c r="S15">
        <v>5</v>
      </c>
    </row>
    <row r="16" spans="1:32" x14ac:dyDescent="0.2">
      <c r="D16" s="3">
        <v>15</v>
      </c>
      <c r="E16" s="20" t="s">
        <v>26</v>
      </c>
      <c r="F16" s="20">
        <v>11</v>
      </c>
      <c r="G16" s="20">
        <v>4</v>
      </c>
      <c r="H16" s="20">
        <v>7</v>
      </c>
      <c r="I16" s="21">
        <v>47</v>
      </c>
      <c r="S16">
        <v>6</v>
      </c>
    </row>
    <row r="17" spans="1:19" x14ac:dyDescent="0.2">
      <c r="D17" s="4">
        <v>16</v>
      </c>
      <c r="E17" s="20" t="s">
        <v>26</v>
      </c>
      <c r="F17" s="20">
        <v>6</v>
      </c>
      <c r="G17" s="20">
        <v>2</v>
      </c>
      <c r="H17" s="20">
        <v>8</v>
      </c>
      <c r="I17" s="21">
        <v>50</v>
      </c>
      <c r="S17">
        <v>8</v>
      </c>
    </row>
    <row r="18" spans="1:19" x14ac:dyDescent="0.2">
      <c r="D18" s="24">
        <v>0</v>
      </c>
      <c r="E18" s="22"/>
      <c r="F18" s="22">
        <v>0</v>
      </c>
      <c r="G18" s="22">
        <v>0</v>
      </c>
      <c r="H18" s="22">
        <v>0</v>
      </c>
      <c r="I18" s="23">
        <v>0</v>
      </c>
      <c r="S18">
        <v>10</v>
      </c>
    </row>
    <row r="19" spans="1:19" x14ac:dyDescent="0.2">
      <c r="S19">
        <v>12</v>
      </c>
    </row>
    <row r="20" spans="1:19" x14ac:dyDescent="0.2">
      <c r="S20">
        <v>14</v>
      </c>
    </row>
    <row r="25" spans="1:19" x14ac:dyDescent="0.2">
      <c r="A25" t="s">
        <v>66</v>
      </c>
      <c r="B25" t="s">
        <v>122</v>
      </c>
      <c r="C25" t="s">
        <v>60</v>
      </c>
      <c r="D25" t="s">
        <v>61</v>
      </c>
      <c r="E25" t="s">
        <v>67</v>
      </c>
      <c r="F25" t="s">
        <v>68</v>
      </c>
      <c r="G25" t="s">
        <v>69</v>
      </c>
      <c r="H25" t="s">
        <v>1</v>
      </c>
      <c r="I25" t="s">
        <v>4</v>
      </c>
      <c r="J25" t="s">
        <v>70</v>
      </c>
      <c r="L25" t="s">
        <v>116</v>
      </c>
      <c r="M25" t="s">
        <v>118</v>
      </c>
      <c r="N25" t="s">
        <v>119</v>
      </c>
      <c r="O25" t="s">
        <v>120</v>
      </c>
      <c r="P25" t="s">
        <v>121</v>
      </c>
    </row>
    <row r="26" spans="1:19" x14ac:dyDescent="0.2">
      <c r="A26" s="15">
        <v>0</v>
      </c>
      <c r="B26" s="18"/>
      <c r="C26" s="18"/>
      <c r="D26" s="18"/>
      <c r="E26" s="19"/>
      <c r="L26" s="2"/>
      <c r="M26" s="2"/>
      <c r="N26" s="2"/>
      <c r="O26" s="15"/>
      <c r="P26" s="2"/>
    </row>
    <row r="27" spans="1:19" x14ac:dyDescent="0.2">
      <c r="A27" s="16" t="s">
        <v>71</v>
      </c>
      <c r="B27" s="20"/>
      <c r="C27" s="20">
        <v>1</v>
      </c>
      <c r="D27" s="20"/>
      <c r="E27" s="21"/>
      <c r="F27" t="s">
        <v>72</v>
      </c>
      <c r="G27" t="s">
        <v>72</v>
      </c>
      <c r="H27" t="s">
        <v>72</v>
      </c>
      <c r="I27" t="s">
        <v>72</v>
      </c>
      <c r="J27" t="s">
        <v>73</v>
      </c>
      <c r="L27" s="3" t="s">
        <v>82</v>
      </c>
      <c r="M27" s="3" t="s">
        <v>83</v>
      </c>
      <c r="N27" s="3" t="s">
        <v>82</v>
      </c>
      <c r="O27" s="16" t="s">
        <v>90</v>
      </c>
      <c r="P27" s="3" t="s">
        <v>71</v>
      </c>
    </row>
    <row r="28" spans="1:19" x14ac:dyDescent="0.2">
      <c r="A28" s="16" t="s">
        <v>82</v>
      </c>
      <c r="B28" s="20"/>
      <c r="C28" s="20"/>
      <c r="D28" s="20">
        <v>1</v>
      </c>
      <c r="E28" s="21"/>
      <c r="F28" t="s">
        <v>73</v>
      </c>
      <c r="G28" t="s">
        <v>72</v>
      </c>
      <c r="H28" t="s">
        <v>73</v>
      </c>
      <c r="I28" t="s">
        <v>72</v>
      </c>
      <c r="J28" t="s">
        <v>72</v>
      </c>
      <c r="L28" s="3" t="s">
        <v>83</v>
      </c>
      <c r="M28" s="3" t="s">
        <v>87</v>
      </c>
      <c r="N28" s="3" t="s">
        <v>85</v>
      </c>
      <c r="O28" s="16" t="s">
        <v>93</v>
      </c>
      <c r="P28" s="3" t="s">
        <v>74</v>
      </c>
    </row>
    <row r="29" spans="1:19" x14ac:dyDescent="0.2">
      <c r="A29" s="16" t="s">
        <v>74</v>
      </c>
      <c r="B29" s="20"/>
      <c r="C29" s="20">
        <v>1</v>
      </c>
      <c r="D29" s="20"/>
      <c r="E29" s="21"/>
      <c r="F29" t="s">
        <v>72</v>
      </c>
      <c r="G29" t="s">
        <v>72</v>
      </c>
      <c r="H29" t="s">
        <v>72</v>
      </c>
      <c r="I29" t="s">
        <v>72</v>
      </c>
      <c r="J29" t="s">
        <v>73</v>
      </c>
      <c r="L29" s="3" t="s">
        <v>84</v>
      </c>
      <c r="M29" s="3" t="s">
        <v>90</v>
      </c>
      <c r="N29" s="3" t="s">
        <v>88</v>
      </c>
      <c r="O29" s="16" t="s">
        <v>97</v>
      </c>
      <c r="P29" s="3" t="s">
        <v>75</v>
      </c>
    </row>
    <row r="30" spans="1:19" x14ac:dyDescent="0.2">
      <c r="A30" s="16" t="s">
        <v>83</v>
      </c>
      <c r="B30" s="20" t="s">
        <v>73</v>
      </c>
      <c r="C30" s="20">
        <v>1</v>
      </c>
      <c r="D30" s="20"/>
      <c r="E30" s="21">
        <v>1</v>
      </c>
      <c r="F30" t="s">
        <v>73</v>
      </c>
      <c r="G30" t="s">
        <v>73</v>
      </c>
      <c r="H30" t="s">
        <v>72</v>
      </c>
      <c r="I30" t="s">
        <v>72</v>
      </c>
      <c r="J30" t="s">
        <v>72</v>
      </c>
      <c r="L30" s="3" t="s">
        <v>85</v>
      </c>
      <c r="M30" s="3" t="s">
        <v>91</v>
      </c>
      <c r="N30" s="3" t="s">
        <v>90</v>
      </c>
      <c r="O30" s="16" t="s">
        <v>101</v>
      </c>
      <c r="P30" s="3" t="s">
        <v>76</v>
      </c>
    </row>
    <row r="31" spans="1:19" x14ac:dyDescent="0.2">
      <c r="A31" s="16" t="s">
        <v>84</v>
      </c>
      <c r="B31" s="20"/>
      <c r="C31" s="20">
        <v>1</v>
      </c>
      <c r="D31" s="20"/>
      <c r="E31" s="21"/>
      <c r="F31" t="s">
        <v>73</v>
      </c>
      <c r="G31" t="s">
        <v>72</v>
      </c>
      <c r="H31" t="s">
        <v>72</v>
      </c>
      <c r="I31" t="s">
        <v>72</v>
      </c>
      <c r="J31" t="s">
        <v>72</v>
      </c>
      <c r="L31" s="3" t="s">
        <v>86</v>
      </c>
      <c r="M31" s="3" t="s">
        <v>93</v>
      </c>
      <c r="N31" s="3" t="s">
        <v>93</v>
      </c>
      <c r="O31" s="16" t="s">
        <v>105</v>
      </c>
      <c r="P31" s="3" t="s">
        <v>77</v>
      </c>
    </row>
    <row r="32" spans="1:19" x14ac:dyDescent="0.2">
      <c r="A32" s="16" t="s">
        <v>85</v>
      </c>
      <c r="B32" s="20"/>
      <c r="C32" s="20">
        <v>1</v>
      </c>
      <c r="D32" s="20">
        <v>1</v>
      </c>
      <c r="E32" s="21"/>
      <c r="F32" t="s">
        <v>73</v>
      </c>
      <c r="G32" t="s">
        <v>72</v>
      </c>
      <c r="H32" t="s">
        <v>73</v>
      </c>
      <c r="I32" t="s">
        <v>72</v>
      </c>
      <c r="J32" t="s">
        <v>72</v>
      </c>
      <c r="L32" s="3" t="s">
        <v>87</v>
      </c>
      <c r="M32" s="3" t="s">
        <v>94</v>
      </c>
      <c r="N32" s="3" t="s">
        <v>95</v>
      </c>
      <c r="O32" s="16" t="s">
        <v>107</v>
      </c>
      <c r="P32" s="3" t="s">
        <v>78</v>
      </c>
    </row>
    <row r="33" spans="1:16" x14ac:dyDescent="0.2">
      <c r="A33" s="16" t="s">
        <v>86</v>
      </c>
      <c r="B33" s="20"/>
      <c r="C33" s="20"/>
      <c r="D33" s="20">
        <v>1</v>
      </c>
      <c r="E33" s="21"/>
      <c r="F33" t="s">
        <v>73</v>
      </c>
      <c r="G33" t="s">
        <v>72</v>
      </c>
      <c r="H33" t="s">
        <v>72</v>
      </c>
      <c r="I33" t="s">
        <v>72</v>
      </c>
      <c r="J33" t="s">
        <v>72</v>
      </c>
      <c r="L33" s="3" t="s">
        <v>88</v>
      </c>
      <c r="M33" s="3" t="s">
        <v>95</v>
      </c>
      <c r="N33" s="3" t="s">
        <v>97</v>
      </c>
      <c r="O33" s="16" t="s">
        <v>109</v>
      </c>
      <c r="P33" s="3" t="s">
        <v>79</v>
      </c>
    </row>
    <row r="34" spans="1:16" x14ac:dyDescent="0.2">
      <c r="A34" s="16" t="s">
        <v>87</v>
      </c>
      <c r="B34" s="20" t="s">
        <v>73</v>
      </c>
      <c r="C34" s="20">
        <v>1</v>
      </c>
      <c r="D34" s="20"/>
      <c r="E34" s="21">
        <v>1</v>
      </c>
      <c r="F34" t="s">
        <v>73</v>
      </c>
      <c r="G34" t="s">
        <v>73</v>
      </c>
      <c r="H34" t="s">
        <v>72</v>
      </c>
      <c r="I34" t="s">
        <v>72</v>
      </c>
      <c r="J34" t="s">
        <v>72</v>
      </c>
      <c r="L34" s="3" t="s">
        <v>89</v>
      </c>
      <c r="M34" s="3" t="s">
        <v>97</v>
      </c>
      <c r="N34" s="3" t="s">
        <v>101</v>
      </c>
      <c r="O34" s="17" t="s">
        <v>111</v>
      </c>
      <c r="P34" s="3" t="s">
        <v>80</v>
      </c>
    </row>
    <row r="35" spans="1:16" x14ac:dyDescent="0.2">
      <c r="A35" s="16" t="s">
        <v>88</v>
      </c>
      <c r="B35" s="20"/>
      <c r="C35" s="20"/>
      <c r="D35" s="20">
        <v>1</v>
      </c>
      <c r="E35" s="21"/>
      <c r="F35" t="s">
        <v>73</v>
      </c>
      <c r="G35" t="s">
        <v>72</v>
      </c>
      <c r="H35" t="s">
        <v>73</v>
      </c>
      <c r="I35" t="s">
        <v>72</v>
      </c>
      <c r="J35" t="s">
        <v>72</v>
      </c>
      <c r="L35" s="3" t="s">
        <v>90</v>
      </c>
      <c r="M35" s="3" t="s">
        <v>99</v>
      </c>
      <c r="N35" s="3" t="s">
        <v>102</v>
      </c>
      <c r="P35" s="4" t="s">
        <v>81</v>
      </c>
    </row>
    <row r="36" spans="1:16" x14ac:dyDescent="0.2">
      <c r="A36" s="16" t="s">
        <v>75</v>
      </c>
      <c r="B36" s="20"/>
      <c r="C36" s="20"/>
      <c r="D36" s="20">
        <v>1</v>
      </c>
      <c r="E36" s="21"/>
      <c r="F36" t="s">
        <v>72</v>
      </c>
      <c r="G36" t="s">
        <v>72</v>
      </c>
      <c r="H36" t="s">
        <v>72</v>
      </c>
      <c r="I36" t="s">
        <v>72</v>
      </c>
      <c r="J36" t="s">
        <v>73</v>
      </c>
      <c r="L36" s="3" t="s">
        <v>91</v>
      </c>
      <c r="M36" s="3" t="s">
        <v>100</v>
      </c>
      <c r="N36" s="3" t="s">
        <v>105</v>
      </c>
    </row>
    <row r="37" spans="1:16" x14ac:dyDescent="0.2">
      <c r="A37" s="16" t="s">
        <v>89</v>
      </c>
      <c r="B37" s="20"/>
      <c r="C37" s="20">
        <v>1</v>
      </c>
      <c r="D37" s="20">
        <v>1</v>
      </c>
      <c r="E37" s="21"/>
      <c r="F37" t="s">
        <v>73</v>
      </c>
      <c r="G37" t="s">
        <v>72</v>
      </c>
      <c r="H37" t="s">
        <v>72</v>
      </c>
      <c r="I37" t="s">
        <v>72</v>
      </c>
      <c r="J37" t="s">
        <v>72</v>
      </c>
      <c r="L37" s="3" t="s">
        <v>92</v>
      </c>
      <c r="M37" s="3" t="s">
        <v>101</v>
      </c>
      <c r="N37" s="3" t="s">
        <v>106</v>
      </c>
    </row>
    <row r="38" spans="1:16" x14ac:dyDescent="0.2">
      <c r="A38" s="16" t="s">
        <v>90</v>
      </c>
      <c r="B38" s="20" t="s">
        <v>73</v>
      </c>
      <c r="C38" s="20">
        <v>1</v>
      </c>
      <c r="D38" s="20"/>
      <c r="E38" s="21">
        <v>1</v>
      </c>
      <c r="F38" t="s">
        <v>73</v>
      </c>
      <c r="G38" t="s">
        <v>73</v>
      </c>
      <c r="H38" t="s">
        <v>73</v>
      </c>
      <c r="I38" t="s">
        <v>73</v>
      </c>
      <c r="J38" t="s">
        <v>72</v>
      </c>
      <c r="L38" s="3" t="s">
        <v>93</v>
      </c>
      <c r="M38" s="3" t="s">
        <v>102</v>
      </c>
      <c r="N38" s="3" t="s">
        <v>107</v>
      </c>
    </row>
    <row r="39" spans="1:16" x14ac:dyDescent="0.2">
      <c r="A39" s="16" t="s">
        <v>91</v>
      </c>
      <c r="B39" s="20" t="s">
        <v>73</v>
      </c>
      <c r="C39" s="20">
        <v>1</v>
      </c>
      <c r="D39" s="20"/>
      <c r="E39" s="21">
        <v>1</v>
      </c>
      <c r="F39" t="s">
        <v>73</v>
      </c>
      <c r="G39" t="s">
        <v>73</v>
      </c>
      <c r="H39" t="s">
        <v>72</v>
      </c>
      <c r="I39" t="s">
        <v>72</v>
      </c>
      <c r="J39" t="s">
        <v>72</v>
      </c>
      <c r="L39" s="3" t="s">
        <v>94</v>
      </c>
      <c r="M39" s="30" t="s">
        <v>117</v>
      </c>
      <c r="N39" s="3" t="s">
        <v>109</v>
      </c>
    </row>
    <row r="40" spans="1:16" x14ac:dyDescent="0.2">
      <c r="A40" s="16" t="s">
        <v>92</v>
      </c>
      <c r="B40" s="20"/>
      <c r="C40" s="20"/>
      <c r="D40" s="20">
        <v>1</v>
      </c>
      <c r="E40" s="21"/>
      <c r="F40" t="s">
        <v>73</v>
      </c>
      <c r="G40" t="s">
        <v>72</v>
      </c>
      <c r="H40" t="s">
        <v>72</v>
      </c>
      <c r="I40" t="s">
        <v>72</v>
      </c>
      <c r="J40" t="s">
        <v>72</v>
      </c>
      <c r="L40" s="3" t="s">
        <v>95</v>
      </c>
      <c r="M40" s="3" t="s">
        <v>105</v>
      </c>
      <c r="N40" s="3" t="s">
        <v>111</v>
      </c>
    </row>
    <row r="41" spans="1:16" x14ac:dyDescent="0.2">
      <c r="A41" s="16" t="s">
        <v>93</v>
      </c>
      <c r="B41" s="20" t="s">
        <v>73</v>
      </c>
      <c r="C41" s="20">
        <v>1</v>
      </c>
      <c r="D41" s="20"/>
      <c r="E41" s="21">
        <v>1</v>
      </c>
      <c r="F41" t="s">
        <v>73</v>
      </c>
      <c r="G41" t="s">
        <v>73</v>
      </c>
      <c r="H41" t="s">
        <v>73</v>
      </c>
      <c r="I41" t="s">
        <v>73</v>
      </c>
      <c r="J41" t="s">
        <v>72</v>
      </c>
      <c r="L41" s="3" t="s">
        <v>96</v>
      </c>
      <c r="M41" s="3" t="s">
        <v>107</v>
      </c>
      <c r="N41" s="3" t="s">
        <v>112</v>
      </c>
    </row>
    <row r="42" spans="1:16" x14ac:dyDescent="0.2">
      <c r="A42" s="16" t="s">
        <v>94</v>
      </c>
      <c r="B42" s="20"/>
      <c r="C42" s="20">
        <v>1</v>
      </c>
      <c r="D42" s="20"/>
      <c r="E42" s="21"/>
      <c r="F42" t="s">
        <v>73</v>
      </c>
      <c r="G42" t="s">
        <v>73</v>
      </c>
      <c r="H42" t="s">
        <v>72</v>
      </c>
      <c r="I42" t="s">
        <v>72</v>
      </c>
      <c r="J42" t="s">
        <v>72</v>
      </c>
      <c r="L42" s="3" t="s">
        <v>97</v>
      </c>
      <c r="M42" s="3" t="s">
        <v>109</v>
      </c>
      <c r="N42" s="4" t="s">
        <v>113</v>
      </c>
    </row>
    <row r="43" spans="1:16" x14ac:dyDescent="0.2">
      <c r="A43" s="16" t="s">
        <v>95</v>
      </c>
      <c r="B43" s="20"/>
      <c r="C43" s="20">
        <v>1</v>
      </c>
      <c r="D43" s="20"/>
      <c r="E43" s="21">
        <v>1</v>
      </c>
      <c r="F43" t="s">
        <v>73</v>
      </c>
      <c r="G43" t="s">
        <v>73</v>
      </c>
      <c r="H43" t="s">
        <v>73</v>
      </c>
      <c r="I43" t="s">
        <v>72</v>
      </c>
      <c r="J43" t="s">
        <v>72</v>
      </c>
      <c r="L43" s="3" t="s">
        <v>98</v>
      </c>
      <c r="M43" s="3" t="s">
        <v>110</v>
      </c>
    </row>
    <row r="44" spans="1:16" x14ac:dyDescent="0.2">
      <c r="A44" s="16" t="s">
        <v>96</v>
      </c>
      <c r="B44" s="20" t="s">
        <v>73</v>
      </c>
      <c r="C44" s="20">
        <v>1</v>
      </c>
      <c r="D44" s="20">
        <v>1</v>
      </c>
      <c r="E44" s="21">
        <v>2</v>
      </c>
      <c r="F44" t="s">
        <v>73</v>
      </c>
      <c r="G44" t="s">
        <v>72</v>
      </c>
      <c r="H44" t="s">
        <v>72</v>
      </c>
      <c r="I44" t="s">
        <v>72</v>
      </c>
      <c r="J44" t="s">
        <v>72</v>
      </c>
      <c r="L44" s="3" t="s">
        <v>99</v>
      </c>
      <c r="M44" s="3" t="s">
        <v>111</v>
      </c>
    </row>
    <row r="45" spans="1:16" x14ac:dyDescent="0.2">
      <c r="A45" s="16" t="s">
        <v>97</v>
      </c>
      <c r="B45" s="20" t="s">
        <v>73</v>
      </c>
      <c r="C45" s="20">
        <v>1</v>
      </c>
      <c r="D45" s="20"/>
      <c r="E45" s="21">
        <v>1</v>
      </c>
      <c r="F45" t="s">
        <v>73</v>
      </c>
      <c r="G45" t="s">
        <v>73</v>
      </c>
      <c r="H45" t="s">
        <v>73</v>
      </c>
      <c r="I45" t="s">
        <v>73</v>
      </c>
      <c r="J45" t="s">
        <v>72</v>
      </c>
      <c r="L45" s="3" t="s">
        <v>100</v>
      </c>
      <c r="M45" s="3" t="s">
        <v>114</v>
      </c>
    </row>
    <row r="46" spans="1:16" x14ac:dyDescent="0.2">
      <c r="A46" s="16" t="s">
        <v>76</v>
      </c>
      <c r="B46" s="20"/>
      <c r="C46" s="20">
        <v>1</v>
      </c>
      <c r="D46" s="20"/>
      <c r="E46" s="21"/>
      <c r="F46" t="s">
        <v>72</v>
      </c>
      <c r="G46" t="s">
        <v>72</v>
      </c>
      <c r="H46" t="s">
        <v>72</v>
      </c>
      <c r="I46" t="s">
        <v>72</v>
      </c>
      <c r="J46" t="s">
        <v>73</v>
      </c>
      <c r="L46" s="3" t="s">
        <v>101</v>
      </c>
      <c r="M46" s="4" t="s">
        <v>115</v>
      </c>
    </row>
    <row r="47" spans="1:16" x14ac:dyDescent="0.2">
      <c r="A47" s="16" t="s">
        <v>98</v>
      </c>
      <c r="B47" s="20"/>
      <c r="C47" s="20">
        <v>1</v>
      </c>
      <c r="D47" s="20">
        <v>1</v>
      </c>
      <c r="E47" s="21">
        <v>4</v>
      </c>
      <c r="F47" t="s">
        <v>73</v>
      </c>
      <c r="G47" t="s">
        <v>72</v>
      </c>
      <c r="H47" t="s">
        <v>72</v>
      </c>
      <c r="I47" t="s">
        <v>72</v>
      </c>
      <c r="J47" t="s">
        <v>72</v>
      </c>
      <c r="L47" s="3" t="s">
        <v>102</v>
      </c>
    </row>
    <row r="48" spans="1:16" x14ac:dyDescent="0.2">
      <c r="A48" s="16" t="s">
        <v>77</v>
      </c>
      <c r="B48" s="20"/>
      <c r="C48" s="20"/>
      <c r="D48" s="20">
        <v>-1</v>
      </c>
      <c r="E48" s="21"/>
      <c r="F48" t="s">
        <v>72</v>
      </c>
      <c r="G48" t="s">
        <v>72</v>
      </c>
      <c r="H48" t="s">
        <v>72</v>
      </c>
      <c r="I48" t="s">
        <v>72</v>
      </c>
      <c r="J48" t="s">
        <v>73</v>
      </c>
      <c r="L48" s="3" t="s">
        <v>103</v>
      </c>
    </row>
    <row r="49" spans="1:12" x14ac:dyDescent="0.2">
      <c r="A49" s="16" t="s">
        <v>99</v>
      </c>
      <c r="B49" s="20" t="s">
        <v>73</v>
      </c>
      <c r="C49" s="20">
        <v>1</v>
      </c>
      <c r="D49" s="20"/>
      <c r="E49" s="21">
        <v>1</v>
      </c>
      <c r="F49" t="s">
        <v>73</v>
      </c>
      <c r="G49" t="s">
        <v>73</v>
      </c>
      <c r="H49" t="s">
        <v>72</v>
      </c>
      <c r="I49" t="s">
        <v>72</v>
      </c>
      <c r="J49" t="s">
        <v>72</v>
      </c>
      <c r="L49" s="3" t="s">
        <v>104</v>
      </c>
    </row>
    <row r="50" spans="1:12" x14ac:dyDescent="0.2">
      <c r="A50" s="16" t="s">
        <v>100</v>
      </c>
      <c r="B50" s="20" t="s">
        <v>73</v>
      </c>
      <c r="C50" s="20">
        <v>1</v>
      </c>
      <c r="D50" s="20"/>
      <c r="E50" s="21">
        <v>1</v>
      </c>
      <c r="F50" t="s">
        <v>73</v>
      </c>
      <c r="G50" t="s">
        <v>73</v>
      </c>
      <c r="H50" t="s">
        <v>72</v>
      </c>
      <c r="I50" t="s">
        <v>72</v>
      </c>
      <c r="J50" t="s">
        <v>72</v>
      </c>
      <c r="L50" s="3" t="s">
        <v>105</v>
      </c>
    </row>
    <row r="51" spans="1:12" x14ac:dyDescent="0.2">
      <c r="A51" s="16" t="s">
        <v>101</v>
      </c>
      <c r="B51" s="20"/>
      <c r="C51" s="20">
        <v>1</v>
      </c>
      <c r="D51" s="20"/>
      <c r="E51" s="21"/>
      <c r="F51" t="s">
        <v>73</v>
      </c>
      <c r="G51" t="s">
        <v>73</v>
      </c>
      <c r="H51" t="s">
        <v>73</v>
      </c>
      <c r="I51" t="s">
        <v>73</v>
      </c>
      <c r="J51" t="s">
        <v>72</v>
      </c>
      <c r="L51" s="3" t="s">
        <v>106</v>
      </c>
    </row>
    <row r="52" spans="1:12" x14ac:dyDescent="0.2">
      <c r="A52" s="16" t="s">
        <v>102</v>
      </c>
      <c r="B52" s="20" t="s">
        <v>73</v>
      </c>
      <c r="C52" s="20">
        <v>2</v>
      </c>
      <c r="D52" s="20">
        <v>1</v>
      </c>
      <c r="E52" s="21">
        <v>2</v>
      </c>
      <c r="F52" t="s">
        <v>73</v>
      </c>
      <c r="G52" t="s">
        <v>73</v>
      </c>
      <c r="H52" t="s">
        <v>73</v>
      </c>
      <c r="I52" t="s">
        <v>72</v>
      </c>
      <c r="J52" t="s">
        <v>72</v>
      </c>
      <c r="L52" s="3" t="s">
        <v>107</v>
      </c>
    </row>
    <row r="53" spans="1:12" x14ac:dyDescent="0.2">
      <c r="A53" s="16" t="s">
        <v>117</v>
      </c>
      <c r="B53" s="20"/>
      <c r="C53" s="25">
        <v>-1</v>
      </c>
      <c r="D53" s="20"/>
      <c r="E53" s="21"/>
      <c r="F53" t="s">
        <v>72</v>
      </c>
      <c r="G53" t="s">
        <v>73</v>
      </c>
      <c r="H53" t="s">
        <v>72</v>
      </c>
      <c r="I53" t="s">
        <v>72</v>
      </c>
      <c r="J53" t="s">
        <v>72</v>
      </c>
      <c r="L53" s="3" t="s">
        <v>108</v>
      </c>
    </row>
    <row r="54" spans="1:12" x14ac:dyDescent="0.2">
      <c r="A54" s="16" t="s">
        <v>78</v>
      </c>
      <c r="B54" s="20"/>
      <c r="C54" s="20">
        <v>1</v>
      </c>
      <c r="D54" s="20"/>
      <c r="E54" s="21"/>
      <c r="F54" t="s">
        <v>72</v>
      </c>
      <c r="G54" t="s">
        <v>72</v>
      </c>
      <c r="H54" t="s">
        <v>72</v>
      </c>
      <c r="I54" t="s">
        <v>72</v>
      </c>
      <c r="J54" t="s">
        <v>73</v>
      </c>
      <c r="L54" s="3" t="s">
        <v>109</v>
      </c>
    </row>
    <row r="55" spans="1:12" x14ac:dyDescent="0.2">
      <c r="A55" s="16" t="s">
        <v>103</v>
      </c>
      <c r="B55" s="20"/>
      <c r="C55" s="20"/>
      <c r="D55" s="20">
        <v>1</v>
      </c>
      <c r="E55" s="21"/>
      <c r="F55" t="s">
        <v>73</v>
      </c>
      <c r="G55" t="s">
        <v>72</v>
      </c>
      <c r="H55" t="s">
        <v>72</v>
      </c>
      <c r="I55" t="s">
        <v>72</v>
      </c>
      <c r="J55" t="s">
        <v>72</v>
      </c>
      <c r="L55" s="3" t="s">
        <v>110</v>
      </c>
    </row>
    <row r="56" spans="1:12" x14ac:dyDescent="0.2">
      <c r="A56" s="16" t="s">
        <v>104</v>
      </c>
      <c r="B56" s="20"/>
      <c r="C56" s="20"/>
      <c r="D56" s="20">
        <v>1</v>
      </c>
      <c r="E56" s="21"/>
      <c r="F56" t="s">
        <v>73</v>
      </c>
      <c r="G56" t="s">
        <v>72</v>
      </c>
      <c r="H56" t="s">
        <v>72</v>
      </c>
      <c r="I56" t="s">
        <v>72</v>
      </c>
      <c r="J56" t="s">
        <v>72</v>
      </c>
      <c r="L56" s="3" t="s">
        <v>111</v>
      </c>
    </row>
    <row r="57" spans="1:12" x14ac:dyDescent="0.2">
      <c r="A57" s="16" t="s">
        <v>79</v>
      </c>
      <c r="B57" s="20"/>
      <c r="C57" s="20">
        <v>1</v>
      </c>
      <c r="D57" s="20">
        <v>-1</v>
      </c>
      <c r="E57" s="21"/>
      <c r="F57" t="s">
        <v>72</v>
      </c>
      <c r="G57" t="s">
        <v>72</v>
      </c>
      <c r="H57" t="s">
        <v>72</v>
      </c>
      <c r="I57" t="s">
        <v>72</v>
      </c>
      <c r="J57" t="s">
        <v>73</v>
      </c>
      <c r="L57" s="3" t="s">
        <v>113</v>
      </c>
    </row>
    <row r="58" spans="1:12" x14ac:dyDescent="0.2">
      <c r="A58" s="16" t="s">
        <v>80</v>
      </c>
      <c r="B58" s="20"/>
      <c r="C58" s="20"/>
      <c r="D58" s="20">
        <v>1</v>
      </c>
      <c r="E58" s="21"/>
      <c r="F58" t="s">
        <v>72</v>
      </c>
      <c r="G58" t="s">
        <v>72</v>
      </c>
      <c r="H58" t="s">
        <v>72</v>
      </c>
      <c r="I58" t="s">
        <v>72</v>
      </c>
      <c r="J58" t="s">
        <v>73</v>
      </c>
      <c r="L58" s="3" t="s">
        <v>114</v>
      </c>
    </row>
    <row r="59" spans="1:12" x14ac:dyDescent="0.2">
      <c r="A59" s="16" t="s">
        <v>105</v>
      </c>
      <c r="B59" s="20" t="s">
        <v>73</v>
      </c>
      <c r="C59" s="20">
        <v>1</v>
      </c>
      <c r="D59" s="20">
        <v>1</v>
      </c>
      <c r="E59" s="21">
        <v>2</v>
      </c>
      <c r="F59" t="s">
        <v>73</v>
      </c>
      <c r="G59" t="s">
        <v>73</v>
      </c>
      <c r="H59" t="s">
        <v>73</v>
      </c>
      <c r="I59" t="s">
        <v>73</v>
      </c>
      <c r="J59" t="s">
        <v>72</v>
      </c>
      <c r="L59" s="4" t="s">
        <v>115</v>
      </c>
    </row>
    <row r="60" spans="1:12" x14ac:dyDescent="0.2">
      <c r="A60" s="16" t="s">
        <v>106</v>
      </c>
      <c r="B60" s="20"/>
      <c r="C60" s="20"/>
      <c r="D60" s="20">
        <v>1</v>
      </c>
      <c r="E60" s="21"/>
      <c r="F60" t="s">
        <v>73</v>
      </c>
      <c r="G60" t="s">
        <v>72</v>
      </c>
      <c r="H60" t="s">
        <v>73</v>
      </c>
      <c r="I60" t="s">
        <v>72</v>
      </c>
      <c r="J60" t="s">
        <v>72</v>
      </c>
    </row>
    <row r="61" spans="1:12" x14ac:dyDescent="0.2">
      <c r="A61" s="16" t="s">
        <v>107</v>
      </c>
      <c r="B61" s="20" t="s">
        <v>73</v>
      </c>
      <c r="C61" s="20">
        <v>1</v>
      </c>
      <c r="D61" s="20"/>
      <c r="E61" s="21">
        <v>1</v>
      </c>
      <c r="F61" t="s">
        <v>73</v>
      </c>
      <c r="G61" t="s">
        <v>73</v>
      </c>
      <c r="H61" t="s">
        <v>73</v>
      </c>
      <c r="I61" t="s">
        <v>73</v>
      </c>
      <c r="J61" t="s">
        <v>72</v>
      </c>
    </row>
    <row r="62" spans="1:12" x14ac:dyDescent="0.2">
      <c r="A62" s="16" t="s">
        <v>81</v>
      </c>
      <c r="B62" s="20"/>
      <c r="C62" s="20">
        <v>1</v>
      </c>
      <c r="D62" s="20">
        <v>1</v>
      </c>
      <c r="E62" s="21"/>
      <c r="F62" t="s">
        <v>72</v>
      </c>
      <c r="G62" t="s">
        <v>72</v>
      </c>
      <c r="H62" t="s">
        <v>72</v>
      </c>
      <c r="I62" t="s">
        <v>72</v>
      </c>
      <c r="J62" t="s">
        <v>73</v>
      </c>
    </row>
    <row r="63" spans="1:12" x14ac:dyDescent="0.2">
      <c r="A63" s="16" t="s">
        <v>108</v>
      </c>
      <c r="B63" s="20"/>
      <c r="C63" s="20">
        <v>-1</v>
      </c>
      <c r="D63" s="20"/>
      <c r="E63" s="21"/>
      <c r="F63" t="s">
        <v>73</v>
      </c>
      <c r="G63" t="s">
        <v>72</v>
      </c>
      <c r="H63" t="s">
        <v>72</v>
      </c>
      <c r="I63" t="s">
        <v>72</v>
      </c>
      <c r="J63" t="s">
        <v>72</v>
      </c>
    </row>
    <row r="64" spans="1:12" x14ac:dyDescent="0.2">
      <c r="A64" s="16" t="s">
        <v>109</v>
      </c>
      <c r="B64" s="20" t="s">
        <v>73</v>
      </c>
      <c r="C64" s="20"/>
      <c r="D64" s="20">
        <v>1</v>
      </c>
      <c r="E64" s="21">
        <v>1</v>
      </c>
      <c r="F64" t="s">
        <v>73</v>
      </c>
      <c r="G64" t="s">
        <v>73</v>
      </c>
      <c r="H64" t="s">
        <v>73</v>
      </c>
      <c r="I64" t="s">
        <v>73</v>
      </c>
      <c r="J64" t="s">
        <v>72</v>
      </c>
    </row>
    <row r="65" spans="1:10" x14ac:dyDescent="0.2">
      <c r="A65" s="16" t="s">
        <v>110</v>
      </c>
      <c r="B65" s="20"/>
      <c r="C65" s="20"/>
      <c r="D65" s="20">
        <v>1</v>
      </c>
      <c r="E65" s="21"/>
      <c r="F65" t="s">
        <v>73</v>
      </c>
      <c r="G65" t="s">
        <v>73</v>
      </c>
      <c r="H65" t="s">
        <v>72</v>
      </c>
      <c r="I65" t="s">
        <v>72</v>
      </c>
      <c r="J65" t="s">
        <v>72</v>
      </c>
    </row>
    <row r="66" spans="1:10" x14ac:dyDescent="0.2">
      <c r="A66" s="16" t="s">
        <v>111</v>
      </c>
      <c r="B66" s="20" t="s">
        <v>73</v>
      </c>
      <c r="C66" s="20"/>
      <c r="D66" s="20">
        <v>1</v>
      </c>
      <c r="E66" s="21">
        <v>2</v>
      </c>
      <c r="F66" t="s">
        <v>73</v>
      </c>
      <c r="G66" t="s">
        <v>73</v>
      </c>
      <c r="H66" t="s">
        <v>73</v>
      </c>
      <c r="I66" t="s">
        <v>73</v>
      </c>
      <c r="J66" t="s">
        <v>72</v>
      </c>
    </row>
    <row r="67" spans="1:10" x14ac:dyDescent="0.2">
      <c r="A67" s="16" t="s">
        <v>112</v>
      </c>
      <c r="B67" s="20"/>
      <c r="C67" s="20">
        <v>2</v>
      </c>
      <c r="D67" s="20">
        <v>1</v>
      </c>
      <c r="E67" s="21">
        <v>8</v>
      </c>
      <c r="F67" t="s">
        <v>72</v>
      </c>
      <c r="G67" t="s">
        <v>72</v>
      </c>
      <c r="H67" t="s">
        <v>73</v>
      </c>
      <c r="I67" t="s">
        <v>72</v>
      </c>
      <c r="J67" t="s">
        <v>72</v>
      </c>
    </row>
    <row r="68" spans="1:10" x14ac:dyDescent="0.2">
      <c r="A68" s="16" t="s">
        <v>113</v>
      </c>
      <c r="B68" s="20" t="s">
        <v>73</v>
      </c>
      <c r="C68" s="20">
        <v>1</v>
      </c>
      <c r="D68" s="20"/>
      <c r="E68" s="21">
        <v>1</v>
      </c>
      <c r="F68" t="s">
        <v>73</v>
      </c>
      <c r="G68" t="s">
        <v>72</v>
      </c>
      <c r="H68" t="s">
        <v>73</v>
      </c>
      <c r="I68" t="s">
        <v>72</v>
      </c>
      <c r="J68" t="s">
        <v>72</v>
      </c>
    </row>
    <row r="69" spans="1:10" x14ac:dyDescent="0.2">
      <c r="A69" s="16" t="s">
        <v>114</v>
      </c>
      <c r="B69" s="25" t="s">
        <v>73</v>
      </c>
      <c r="C69" s="20">
        <v>1</v>
      </c>
      <c r="D69" s="20"/>
      <c r="E69" s="21">
        <v>1</v>
      </c>
      <c r="F69" t="s">
        <v>73</v>
      </c>
      <c r="G69" t="s">
        <v>73</v>
      </c>
      <c r="H69" t="s">
        <v>72</v>
      </c>
      <c r="I69" t="s">
        <v>72</v>
      </c>
      <c r="J69" t="s">
        <v>72</v>
      </c>
    </row>
    <row r="70" spans="1:10" x14ac:dyDescent="0.2">
      <c r="A70" s="17" t="s">
        <v>115</v>
      </c>
      <c r="B70" s="22"/>
      <c r="C70" s="22"/>
      <c r="D70" s="22">
        <v>1</v>
      </c>
      <c r="E70" s="23"/>
      <c r="F70" t="s">
        <v>73</v>
      </c>
      <c r="G70" t="s">
        <v>73</v>
      </c>
      <c r="H70" t="s">
        <v>72</v>
      </c>
      <c r="I70" t="s">
        <v>72</v>
      </c>
      <c r="J70" t="s">
        <v>72</v>
      </c>
    </row>
  </sheetData>
  <sortState ref="A26:J69">
    <sortCondition ref="A26:A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Design</vt:lpstr>
      <vt:lpstr>Starships</vt:lpstr>
      <vt:lpstr>Bases</vt:lpstr>
      <vt:lpstr>Fighters</vt:lpstr>
      <vt:lpstr>Mines</vt:lpstr>
      <vt:lpstr>Ground Units</vt:lpstr>
      <vt:lpstr>Tables</vt:lpstr>
      <vt:lpstr>BaseSpecList</vt:lpstr>
      <vt:lpstr>FighterList</vt:lpstr>
      <vt:lpstr>FighterRange</vt:lpstr>
      <vt:lpstr>FighterSpecList</vt:lpstr>
      <vt:lpstr>GroundList</vt:lpstr>
      <vt:lpstr>GroundRange</vt:lpstr>
      <vt:lpstr>GroundSpecList</vt:lpstr>
      <vt:lpstr>MineList</vt:lpstr>
      <vt:lpstr>MineRange</vt:lpstr>
      <vt:lpstr>MineSpecList</vt:lpstr>
      <vt:lpstr>ShipSpecList</vt:lpstr>
      <vt:lpstr>SpecialRange</vt:lpstr>
      <vt:lpstr>StarshipCostList</vt:lpstr>
      <vt:lpstr>StarshipRange</vt:lpstr>
      <vt:lpstr>TechAdvList</vt:lpstr>
      <vt:lpstr>TemplateList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Pridemore</dc:creator>
  <cp:lastModifiedBy>Pridemore, JA</cp:lastModifiedBy>
  <dcterms:created xsi:type="dcterms:W3CDTF">2015-09-26T22:39:04Z</dcterms:created>
  <dcterms:modified xsi:type="dcterms:W3CDTF">2015-10-05T16:10:06Z</dcterms:modified>
</cp:coreProperties>
</file>